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harts/chart2.xml" ContentType="application/vnd.openxmlformats-officedocument.drawingml.chart+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407"/>
  <workbookPr codeName="ThisWorkbook" defaultThemeVersion="166925"/>
  <mc:AlternateContent xmlns:mc="http://schemas.openxmlformats.org/markup-compatibility/2006">
    <mc:Choice Requires="x15">
      <x15ac:absPath xmlns:x15ac="http://schemas.microsoft.com/office/spreadsheetml/2010/11/ac" url="C:\Users\a0873821\Documents\Backup\PGA850\Filter_App_Note\Noise_Calculator\"/>
    </mc:Choice>
  </mc:AlternateContent>
  <xr:revisionPtr revIDLastSave="0" documentId="13_ncr:1_{F6C14026-22AC-4046-84D2-9A0756AC6513}" xr6:coauthVersionLast="36" xr6:coauthVersionMax="36" xr10:uidLastSave="{00000000-0000-0000-0000-000000000000}"/>
  <workbookProtection workbookAlgorithmName="SHA-512" workbookHashValue="Lns3+h0SphMK0iobKN27t4SfpEDQRV6tNVRa/Uq2+nLwon6Kq76pX6XBTdS3D//u2PfmxepqRMEhIQFb57vRrw==" workbookSaltValue="T5iJm/IDCoSM7iExbGYjtw==" workbookSpinCount="100000" lockStructure="1"/>
  <bookViews>
    <workbookView xWindow="0" yWindow="0" windowWidth="21570" windowHeight="6990" firstSheet="1" activeTab="1" xr2:uid="{1934AC4B-A61E-4AD0-9B9E-BBC0500FFBE6}"/>
  </bookViews>
  <sheets>
    <sheet name="Tables" sheetId="9" state="hidden" r:id="rId1"/>
    <sheet name="PGA855+ADS127L11 Noise" sheetId="19" r:id="rId2"/>
    <sheet name="About" sheetId="22" r:id="rId3"/>
    <sheet name="ADS127Lx1_Noise_Specs" sheetId="20" state="hidden" r:id="rId4"/>
    <sheet name="PGA855_Noise_Specs and Calc" sheetId="21" state="hidden" r:id="rId5"/>
    <sheet name="REF_Noise" sheetId="23" state="hidden" r:id="rId6"/>
  </sheets>
  <externalReferences>
    <externalReference r:id="rId7"/>
  </externalReferences>
  <definedNames>
    <definedName name="ADC">'PGA855+ADS127L11 Noise'!$B$18</definedName>
    <definedName name="ADC\">'PGA855+ADS127L11 Noise'!$B$18</definedName>
    <definedName name="ADC_BW">'PGA855+ADS127L11 Noise'!$B$41</definedName>
    <definedName name="ADC_Noise">'PGA855+ADS127L11 Noise'!$B$39</definedName>
    <definedName name="ADS127L11">ADS127Lx1_Noise_Specs!$I$4:$I$7</definedName>
    <definedName name="ADS127L21">ADS127Lx1_Noise_Specs!$I$18:$I$25</definedName>
    <definedName name="BW_L11">'PGA855_Noise_Specs and Calc'!$K$5</definedName>
    <definedName name="BW_L21">'PGA855_Noise_Specs and Calc'!$L$5</definedName>
    <definedName name="clamp">[1]Vin_Vout_tool_Calc!$B$9</definedName>
    <definedName name="Data_Rate">'PGA855+ADS127L11 Noise'!$B$24</definedName>
    <definedName name="Digital_Filter">'PGA855+ADS127L11 Noise'!$B$21</definedName>
    <definedName name="FCLK_L11">'PGA855_Noise_Specs and Calc'!$K$4</definedName>
    <definedName name="FCLK_L21">'PGA855_Noise_Specs and Calc'!$L$4</definedName>
    <definedName name="FSR_pp">'PGA855_Noise_Specs and Calc'!$K$10</definedName>
    <definedName name="FSR_rms">'PGA855_Noise_Specs and Calc'!$K$11</definedName>
    <definedName name="iN_BB">'PGA855_Noise_Specs and Calc'!$B$22</definedName>
    <definedName name="iN_Flicker">'PGA855_Noise_Specs and Calc'!$A$22</definedName>
    <definedName name="L11_Sinc4_HighSpeed">ADS127Lx1_Noise_Specs!$L$4:$L$14</definedName>
    <definedName name="L11_Sinc4_LowSpeed">ADS127Lx1_Noise_Specs!$M$4:$M$14</definedName>
    <definedName name="L11_Tab_Sinc4HS">ADS127Lx1_Noise_Specs!$D$21:$F$31</definedName>
    <definedName name="L11_Tab_Sinc4LS">ADS127Lx1_Noise_Specs!$D$32:$F$42</definedName>
    <definedName name="L11_Tab_WBHS">ADS127Lx1_Noise_Specs!$D$3:$F$10</definedName>
    <definedName name="L11_Tab_WBLS">ADS127Lx1_Noise_Specs!$D$11:$F$18</definedName>
    <definedName name="L11_WB_HighSpeed">ADS127Lx1_Noise_Specs!$J$4:$J$11</definedName>
    <definedName name="L11_WB_LowSpeed">ADS127Lx1_Noise_Specs!$K$4:$K$11</definedName>
    <definedName name="L21_Sinc4_HighSpeed">ADS127Lx1_Noise_Specs!$O$18:$O$37</definedName>
    <definedName name="L21_Sinc4_LowSpeed">ADS127Lx1_Noise_Specs!$Q$18:$Q$37</definedName>
    <definedName name="L21_Sinc4_MaxSpeed">ADS127Lx1_Noise_Specs!$N$18:$N$37</definedName>
    <definedName name="L21_Sinc4_MidSpeed">ADS127Lx1_Noise_Specs!$P$18:$P$37</definedName>
    <definedName name="L21_Tab_Sinc4HS">ADS127Lx1_Noise_Specs!$D$161:$F$180</definedName>
    <definedName name="L21_Tab_Sinc4LS">ADS127Lx1_Noise_Specs!$D$205:$F$224</definedName>
    <definedName name="L21_Tab_Sinc4Max">ADS127Lx1_Noise_Specs!$D$139:$F$158</definedName>
    <definedName name="L21_Tab_Sinc4Mid">ADS127Lx1_Noise_Specs!$D$183:$F$202</definedName>
    <definedName name="L21_Tab_WBHS">ADS127Lx1_Noise_Specs!$D$110:$F$117</definedName>
    <definedName name="L21_Tab_WBLS">ADS127Lx1_Noise_Specs!$D$126:$F$133</definedName>
    <definedName name="L21_Tab_WBMax">ADS127Lx1_Noise_Specs!$D$102:$F$109</definedName>
    <definedName name="L21_Tab_WBMid">ADS127Lx1_Noise_Specs!$D$118:$F$125</definedName>
    <definedName name="L21_WB_HighSpeed">ADS127Lx1_Noise_Specs!$K$18:$K$25</definedName>
    <definedName name="L21_WB_LowSpeed">ADS127Lx1_Noise_Specs!$M$18:$M$25</definedName>
    <definedName name="L21_WB_MaxSpeed">ADS127Lx1_Noise_Specs!$J$18:$J$25</definedName>
    <definedName name="L21_WB_MidSpeed">ADS127Lx1_Noise_Specs!$L$18:$L$25</definedName>
    <definedName name="max_clamp">[1]Vin_Vout_tool_Calc!$B$10</definedName>
    <definedName name="max_clamp_pos">[1]Vin_Vout_tool_Calc!$B$12</definedName>
    <definedName name="min_clamp">[1]Vin_Vout_tool_Calc!$B$11</definedName>
    <definedName name="Noise_L11">'PGA855_Noise_Specs and Calc'!$K$6</definedName>
    <definedName name="Noise_L21">'PGA855_Noise_Specs and Calc'!$L$6</definedName>
    <definedName name="PGA_BW">'PGA855+ADS127L11 Noise'!$B$11</definedName>
    <definedName name="REF_Device">'PGA855+ADS127L11 Noise'!$B$28</definedName>
    <definedName name="REF_Noise">REF_Noise!$K$6</definedName>
    <definedName name="REF_other_noise">'PGA855+ADS127L11 Noise'!$B$31</definedName>
    <definedName name="REF_other_voltage">'PGA855+ADS127L11 Noise'!$B$34</definedName>
    <definedName name="REF_Voltage">REF_Noise!$K$7</definedName>
    <definedName name="Rin_Eq">'PGA855+ADS127L11 Noise'!$B$5</definedName>
    <definedName name="RTO_Tot_PGA855_Noise">Table2104[RTO Tot PGA855 Noise (µVRMS)]</definedName>
    <definedName name="Source_Noise">'PGA855+ADS127L11 Noise'!$B$7</definedName>
    <definedName name="Sys_Noise_BW">'PGA855+ADS127L11 Noise'!$G$45</definedName>
    <definedName name="VCLAMP_pos">[1]Vin_Vout_tool_Calc!$B$14</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7" i="23" l="1"/>
  <c r="K10" i="21" s="1"/>
  <c r="N33" i="21" l="1"/>
  <c r="O33" i="21" s="1"/>
  <c r="N32" i="21"/>
  <c r="O32" i="21" s="1"/>
  <c r="N31" i="21"/>
  <c r="O31" i="21" s="1"/>
  <c r="N30" i="21"/>
  <c r="O30" i="21" s="1"/>
  <c r="N29" i="21"/>
  <c r="O29" i="21" s="1"/>
  <c r="N28" i="21"/>
  <c r="O28" i="21" s="1"/>
  <c r="N27" i="21"/>
  <c r="O27" i="21" s="1"/>
  <c r="N26" i="21"/>
  <c r="Q37" i="19" s="1"/>
  <c r="O26" i="21" l="1"/>
  <c r="R37" i="19" s="1"/>
  <c r="L6" i="21"/>
  <c r="K11" i="21" l="1"/>
  <c r="K6" i="21" l="1"/>
  <c r="B39" i="19" s="1"/>
  <c r="L5" i="21"/>
  <c r="K5" i="21"/>
  <c r="L4" i="21"/>
  <c r="K4" i="21"/>
  <c r="B43" i="19" l="1"/>
  <c r="B41" i="19"/>
  <c r="G45" i="19" s="1"/>
  <c r="G6" i="23" s="1"/>
  <c r="H6" i="23" s="1"/>
  <c r="P26" i="21" l="1"/>
  <c r="S37" i="19" s="1"/>
  <c r="G2" i="23"/>
  <c r="H2" i="23" s="1"/>
  <c r="K6" i="23" s="1"/>
  <c r="N45" i="19" s="1"/>
  <c r="T18" i="21"/>
  <c r="L18" i="21" s="1"/>
  <c r="K30" i="21"/>
  <c r="L30" i="21" s="1"/>
  <c r="T19" i="21"/>
  <c r="L19" i="21" s="1"/>
  <c r="K29" i="21"/>
  <c r="L29" i="21" s="1"/>
  <c r="T21" i="21"/>
  <c r="L21" i="21" s="1"/>
  <c r="K27" i="21"/>
  <c r="L27" i="21" s="1"/>
  <c r="T15" i="21"/>
  <c r="T16" i="21"/>
  <c r="L16" i="21" s="1"/>
  <c r="K32" i="21"/>
  <c r="L32" i="21" s="1"/>
  <c r="K31" i="21"/>
  <c r="L31" i="21" s="1"/>
  <c r="T20" i="21"/>
  <c r="L20" i="21" s="1"/>
  <c r="T22" i="21"/>
  <c r="L22" i="21" s="1"/>
  <c r="K26" i="21"/>
  <c r="L26" i="21" s="1"/>
  <c r="Q41" i="19" s="1"/>
  <c r="K33" i="21"/>
  <c r="L33" i="21" s="1"/>
  <c r="T17" i="21"/>
  <c r="L17" i="21" s="1"/>
  <c r="K28" i="21"/>
  <c r="L28" i="21" s="1"/>
  <c r="M15" i="21"/>
  <c r="N15" i="21"/>
  <c r="V15" i="21"/>
  <c r="V22" i="21"/>
  <c r="V19" i="21"/>
  <c r="V21" i="21"/>
  <c r="V20" i="21"/>
  <c r="V18" i="21"/>
  <c r="V17" i="21"/>
  <c r="V16" i="21"/>
  <c r="U16" i="21"/>
  <c r="U17" i="21"/>
  <c r="U18" i="21"/>
  <c r="U19" i="21"/>
  <c r="U20" i="21"/>
  <c r="U21" i="21"/>
  <c r="U22" i="21"/>
  <c r="M21" i="21"/>
  <c r="N16" i="21"/>
  <c r="M16" i="21"/>
  <c r="N21" i="21"/>
  <c r="N17" i="21"/>
  <c r="M17" i="21"/>
  <c r="N18" i="21"/>
  <c r="M18" i="21"/>
  <c r="M19" i="21"/>
  <c r="M22" i="21"/>
  <c r="N19" i="21"/>
  <c r="N20" i="21"/>
  <c r="M20" i="21"/>
  <c r="N22" i="21"/>
  <c r="C210" i="20"/>
  <c r="C211" i="20" s="1"/>
  <c r="C209" i="20"/>
  <c r="E224" i="20"/>
  <c r="E223" i="20"/>
  <c r="E222" i="20"/>
  <c r="E221" i="20"/>
  <c r="E220" i="20"/>
  <c r="E219" i="20"/>
  <c r="E218" i="20"/>
  <c r="E217" i="20"/>
  <c r="E216" i="20"/>
  <c r="E215" i="20"/>
  <c r="E214" i="20"/>
  <c r="E213" i="20"/>
  <c r="E212" i="20"/>
  <c r="E211" i="20"/>
  <c r="E210" i="20"/>
  <c r="E209" i="20"/>
  <c r="E208" i="20"/>
  <c r="E207" i="20"/>
  <c r="E206" i="20"/>
  <c r="E202" i="20"/>
  <c r="E201" i="20"/>
  <c r="E200" i="20"/>
  <c r="E199" i="20"/>
  <c r="E198" i="20"/>
  <c r="E197" i="20"/>
  <c r="E196" i="20"/>
  <c r="E195" i="20"/>
  <c r="E194" i="20"/>
  <c r="E193" i="20"/>
  <c r="E192" i="20"/>
  <c r="E191" i="20"/>
  <c r="E190" i="20"/>
  <c r="E189" i="20"/>
  <c r="E188" i="20"/>
  <c r="E187" i="20"/>
  <c r="E186" i="20"/>
  <c r="E185" i="20"/>
  <c r="E184" i="20"/>
  <c r="C188" i="20"/>
  <c r="C187" i="20"/>
  <c r="E180" i="20"/>
  <c r="E179" i="20"/>
  <c r="E178" i="20"/>
  <c r="E177" i="20"/>
  <c r="E176" i="20"/>
  <c r="E175" i="20"/>
  <c r="E174" i="20"/>
  <c r="E173" i="20"/>
  <c r="E172" i="20"/>
  <c r="E171" i="20"/>
  <c r="E170" i="20"/>
  <c r="E169" i="20"/>
  <c r="E168" i="20"/>
  <c r="E167" i="20"/>
  <c r="E166" i="20"/>
  <c r="E165" i="20"/>
  <c r="E164" i="20"/>
  <c r="E163" i="20"/>
  <c r="E162" i="20"/>
  <c r="C166" i="20"/>
  <c r="C167" i="20" s="1"/>
  <c r="C165" i="20"/>
  <c r="E158" i="20"/>
  <c r="E157" i="20"/>
  <c r="E156" i="20"/>
  <c r="E155" i="20"/>
  <c r="E154" i="20"/>
  <c r="E153" i="20"/>
  <c r="E152" i="20"/>
  <c r="E151" i="20"/>
  <c r="E150" i="20"/>
  <c r="E149" i="20"/>
  <c r="E148" i="20"/>
  <c r="E147" i="20"/>
  <c r="E146" i="20"/>
  <c r="E145" i="20"/>
  <c r="E144" i="20"/>
  <c r="E143" i="20"/>
  <c r="E142" i="20"/>
  <c r="E141" i="20"/>
  <c r="E140" i="20"/>
  <c r="C143" i="20"/>
  <c r="C144" i="20" s="1"/>
  <c r="C145" i="20" s="1"/>
  <c r="L157" i="20"/>
  <c r="J157" i="20"/>
  <c r="L156" i="20"/>
  <c r="J156" i="20"/>
  <c r="L155" i="20"/>
  <c r="J155" i="20"/>
  <c r="L154" i="20"/>
  <c r="J154" i="20"/>
  <c r="L153" i="20"/>
  <c r="J153" i="20"/>
  <c r="L152" i="20"/>
  <c r="J152" i="20"/>
  <c r="L151" i="20"/>
  <c r="J151" i="20"/>
  <c r="L150" i="20"/>
  <c r="J150" i="20"/>
  <c r="L149" i="20"/>
  <c r="J149" i="20"/>
  <c r="L148" i="20"/>
  <c r="J148" i="20"/>
  <c r="L147" i="20"/>
  <c r="J147" i="20"/>
  <c r="L146" i="20"/>
  <c r="J146" i="20"/>
  <c r="L145" i="20"/>
  <c r="J145" i="20"/>
  <c r="L144" i="20"/>
  <c r="J144" i="20"/>
  <c r="L143" i="20"/>
  <c r="J143" i="20"/>
  <c r="L142" i="20"/>
  <c r="J142" i="20"/>
  <c r="L141" i="20"/>
  <c r="J141" i="20"/>
  <c r="L140" i="20"/>
  <c r="J140" i="20"/>
  <c r="L139" i="20"/>
  <c r="J139" i="20"/>
  <c r="L138" i="20"/>
  <c r="J138" i="20"/>
  <c r="E133" i="20"/>
  <c r="E132" i="20"/>
  <c r="E131" i="20"/>
  <c r="E130" i="20"/>
  <c r="E129" i="20"/>
  <c r="E128" i="20"/>
  <c r="E127" i="20"/>
  <c r="E126" i="20"/>
  <c r="E119" i="20"/>
  <c r="E118" i="20"/>
  <c r="E117" i="20"/>
  <c r="E116" i="20"/>
  <c r="E115" i="20"/>
  <c r="E114" i="20"/>
  <c r="E113" i="20"/>
  <c r="E112" i="20"/>
  <c r="E111" i="20"/>
  <c r="E110" i="20"/>
  <c r="D111" i="20"/>
  <c r="D112" i="20" s="1"/>
  <c r="C111" i="20"/>
  <c r="C112" i="20" s="1"/>
  <c r="C113" i="20" s="1"/>
  <c r="C114" i="20" s="1"/>
  <c r="C115" i="20" s="1"/>
  <c r="C116" i="20" s="1"/>
  <c r="C117" i="20" s="1"/>
  <c r="C119" i="20"/>
  <c r="C120" i="20" s="1"/>
  <c r="C121" i="20" s="1"/>
  <c r="C122" i="20" s="1"/>
  <c r="C123" i="20" s="1"/>
  <c r="C124" i="20" s="1"/>
  <c r="C125" i="20" s="1"/>
  <c r="D119" i="20"/>
  <c r="D127" i="20"/>
  <c r="D128" i="20" s="1"/>
  <c r="C127" i="20"/>
  <c r="C128" i="20" s="1"/>
  <c r="C129" i="20" s="1"/>
  <c r="C130" i="20" s="1"/>
  <c r="C131" i="20" s="1"/>
  <c r="C132" i="20" s="1"/>
  <c r="C133" i="20" s="1"/>
  <c r="C104" i="20"/>
  <c r="C105" i="20" s="1"/>
  <c r="C106" i="20" s="1"/>
  <c r="C107" i="20" s="1"/>
  <c r="C108" i="20" s="1"/>
  <c r="C109" i="20" s="1"/>
  <c r="D103" i="20"/>
  <c r="D104" i="20" s="1"/>
  <c r="C103" i="20"/>
  <c r="E102" i="20"/>
  <c r="Q19" i="20"/>
  <c r="Q20" i="20"/>
  <c r="Q21" i="20"/>
  <c r="Q22" i="20"/>
  <c r="Q23" i="20"/>
  <c r="Q24" i="20"/>
  <c r="Q25" i="20"/>
  <c r="Q26" i="20"/>
  <c r="Q27" i="20"/>
  <c r="Q28" i="20"/>
  <c r="Q29" i="20"/>
  <c r="Q30" i="20"/>
  <c r="Q31" i="20"/>
  <c r="Q32" i="20"/>
  <c r="Q33" i="20"/>
  <c r="Q34" i="20"/>
  <c r="Q35" i="20"/>
  <c r="Q36" i="20"/>
  <c r="Q37" i="20"/>
  <c r="O25" i="20"/>
  <c r="Q18" i="20"/>
  <c r="O37" i="20"/>
  <c r="O36" i="20"/>
  <c r="O35" i="20"/>
  <c r="O34" i="20"/>
  <c r="O33" i="20"/>
  <c r="O32" i="20"/>
  <c r="O31" i="20"/>
  <c r="O30" i="20"/>
  <c r="O29" i="20"/>
  <c r="O28" i="20"/>
  <c r="O27" i="20"/>
  <c r="O26" i="20"/>
  <c r="O24" i="20"/>
  <c r="O23" i="20"/>
  <c r="O22" i="20"/>
  <c r="O21" i="20"/>
  <c r="O20" i="20"/>
  <c r="O19" i="20"/>
  <c r="O18" i="20"/>
  <c r="L19" i="20"/>
  <c r="L20" i="20" s="1"/>
  <c r="L21" i="20" s="1"/>
  <c r="L22" i="20" s="1"/>
  <c r="L23" i="20" s="1"/>
  <c r="L24" i="20" s="1"/>
  <c r="L25" i="20" s="1"/>
  <c r="J20" i="20"/>
  <c r="J21" i="20" s="1"/>
  <c r="J22" i="20" s="1"/>
  <c r="J23" i="20" s="1"/>
  <c r="J24" i="20" s="1"/>
  <c r="J25" i="20" s="1"/>
  <c r="J19" i="20"/>
  <c r="L15" i="21" l="1"/>
  <c r="M29" i="21"/>
  <c r="O40" i="19" s="1"/>
  <c r="M28" i="21"/>
  <c r="O39" i="19" s="1"/>
  <c r="M27" i="21"/>
  <c r="O38" i="19" s="1"/>
  <c r="M30" i="21"/>
  <c r="O41" i="19" s="1"/>
  <c r="M31" i="21"/>
  <c r="O42" i="19" s="1"/>
  <c r="M32" i="21"/>
  <c r="O43" i="19" s="1"/>
  <c r="M33" i="21"/>
  <c r="O44" i="19" s="1"/>
  <c r="M26" i="21"/>
  <c r="O37" i="19" s="1"/>
  <c r="W21" i="21"/>
  <c r="M43" i="19" s="1"/>
  <c r="K21" i="21"/>
  <c r="O21" i="21" s="1"/>
  <c r="W20" i="21"/>
  <c r="M42" i="19" s="1"/>
  <c r="K20" i="21"/>
  <c r="O20" i="21" s="1"/>
  <c r="K17" i="21"/>
  <c r="O17" i="21" s="1"/>
  <c r="W17" i="21"/>
  <c r="M39" i="19" s="1"/>
  <c r="K16" i="21"/>
  <c r="O16" i="21" s="1"/>
  <c r="W16" i="21"/>
  <c r="M38" i="19" s="1"/>
  <c r="W19" i="21"/>
  <c r="M41" i="19" s="1"/>
  <c r="K19" i="21"/>
  <c r="O19" i="21" s="1"/>
  <c r="W22" i="21"/>
  <c r="M44" i="19" s="1"/>
  <c r="K22" i="21"/>
  <c r="O22" i="21" s="1"/>
  <c r="K18" i="21"/>
  <c r="O18" i="21" s="1"/>
  <c r="W18" i="21"/>
  <c r="M40" i="19" s="1"/>
  <c r="K15" i="21"/>
  <c r="D105" i="20"/>
  <c r="E105" i="20" s="1"/>
  <c r="E104" i="20"/>
  <c r="E103" i="20"/>
  <c r="D113" i="20"/>
  <c r="D120" i="20"/>
  <c r="D129" i="20"/>
  <c r="E18" i="20"/>
  <c r="E17" i="20"/>
  <c r="E16" i="20"/>
  <c r="E15" i="20"/>
  <c r="E14" i="20"/>
  <c r="E13" i="20"/>
  <c r="E12" i="20"/>
  <c r="E11" i="20"/>
  <c r="E10" i="20"/>
  <c r="E9" i="20"/>
  <c r="E8" i="20"/>
  <c r="E7" i="20"/>
  <c r="E6" i="20"/>
  <c r="E5" i="20"/>
  <c r="E4" i="20"/>
  <c r="E3" i="20"/>
  <c r="P21" i="21" l="1"/>
  <c r="G43" i="19" s="1"/>
  <c r="N38" i="19"/>
  <c r="P16" i="21"/>
  <c r="G38" i="19" s="1"/>
  <c r="N40" i="19"/>
  <c r="P18" i="21"/>
  <c r="N39" i="19"/>
  <c r="P17" i="21"/>
  <c r="G39" i="19" s="1"/>
  <c r="N44" i="19"/>
  <c r="P22" i="21"/>
  <c r="N42" i="19"/>
  <c r="P20" i="21"/>
  <c r="N41" i="19"/>
  <c r="P19" i="21"/>
  <c r="G41" i="19" s="1"/>
  <c r="N43" i="19"/>
  <c r="O15" i="21"/>
  <c r="D121" i="20"/>
  <c r="E120" i="20"/>
  <c r="D106" i="20"/>
  <c r="E106" i="20" s="1"/>
  <c r="D114" i="20"/>
  <c r="D130" i="20"/>
  <c r="P15" i="21" l="1"/>
  <c r="N37" i="19" s="1"/>
  <c r="G44" i="19"/>
  <c r="G40" i="19"/>
  <c r="G42" i="19"/>
  <c r="I42" i="19" s="1"/>
  <c r="R21" i="21"/>
  <c r="Q21" i="21"/>
  <c r="Q16" i="21"/>
  <c r="Q19" i="21"/>
  <c r="R17" i="21"/>
  <c r="R22" i="21"/>
  <c r="I43" i="19"/>
  <c r="H43" i="19"/>
  <c r="F43" i="19"/>
  <c r="R16" i="21"/>
  <c r="Q17" i="21"/>
  <c r="Q22" i="21"/>
  <c r="R19" i="21"/>
  <c r="R20" i="21"/>
  <c r="Q20" i="21"/>
  <c r="R18" i="21"/>
  <c r="Q18" i="21"/>
  <c r="E121" i="20"/>
  <c r="D122" i="20"/>
  <c r="D107" i="20"/>
  <c r="E107" i="20" s="1"/>
  <c r="D115" i="20"/>
  <c r="D131" i="20"/>
  <c r="B5" i="21"/>
  <c r="I40" i="19" l="1"/>
  <c r="H40" i="19"/>
  <c r="Q15" i="21"/>
  <c r="F42" i="19"/>
  <c r="F40" i="19"/>
  <c r="H42" i="19"/>
  <c r="G37" i="19"/>
  <c r="H37" i="19" s="1"/>
  <c r="I44" i="19"/>
  <c r="H44" i="19"/>
  <c r="F44" i="19"/>
  <c r="H41" i="19"/>
  <c r="F41" i="19"/>
  <c r="I41" i="19"/>
  <c r="H39" i="19"/>
  <c r="F39" i="19"/>
  <c r="I39" i="19"/>
  <c r="I38" i="19"/>
  <c r="H38" i="19"/>
  <c r="F38" i="19"/>
  <c r="U15" i="21"/>
  <c r="E122" i="20"/>
  <c r="D123" i="20"/>
  <c r="D108" i="20"/>
  <c r="E108" i="20" s="1"/>
  <c r="D116" i="20"/>
  <c r="D132" i="20"/>
  <c r="D36" i="20"/>
  <c r="D37" i="20" s="1"/>
  <c r="D38" i="20" s="1"/>
  <c r="D39" i="20" s="1"/>
  <c r="D40" i="20" s="1"/>
  <c r="D41" i="20" s="1"/>
  <c r="D42" i="20" s="1"/>
  <c r="D25" i="20"/>
  <c r="D26" i="20" s="1"/>
  <c r="D27" i="20" s="1"/>
  <c r="D28" i="20" s="1"/>
  <c r="D29" i="20" s="1"/>
  <c r="D30" i="20" s="1"/>
  <c r="D31" i="20" s="1"/>
  <c r="C36" i="20"/>
  <c r="C37" i="20" s="1"/>
  <c r="C38" i="20" s="1"/>
  <c r="C39" i="20" s="1"/>
  <c r="C40" i="20" s="1"/>
  <c r="C41" i="20" s="1"/>
  <c r="C42" i="20" s="1"/>
  <c r="C25" i="20"/>
  <c r="C26" i="20" s="1"/>
  <c r="C27" i="20" s="1"/>
  <c r="C28" i="20" s="1"/>
  <c r="C29" i="20" s="1"/>
  <c r="C30" i="20" s="1"/>
  <c r="C31" i="20" s="1"/>
  <c r="D12" i="20"/>
  <c r="D13" i="20" s="1"/>
  <c r="D14" i="20" s="1"/>
  <c r="D15" i="20" s="1"/>
  <c r="D16" i="20" s="1"/>
  <c r="D17" i="20" s="1"/>
  <c r="D18" i="20" s="1"/>
  <c r="C12" i="20"/>
  <c r="C13" i="20" s="1"/>
  <c r="C14" i="20" s="1"/>
  <c r="C15" i="20" s="1"/>
  <c r="C16" i="20" s="1"/>
  <c r="C17" i="20" s="1"/>
  <c r="C18" i="20" s="1"/>
  <c r="D4" i="20"/>
  <c r="D5" i="20" s="1"/>
  <c r="D6" i="20" s="1"/>
  <c r="D7" i="20" s="1"/>
  <c r="D8" i="20" s="1"/>
  <c r="D9" i="20" s="1"/>
  <c r="D10" i="20" s="1"/>
  <c r="C4" i="20"/>
  <c r="C5" i="20" s="1"/>
  <c r="C6" i="20" s="1"/>
  <c r="C7" i="20" s="1"/>
  <c r="C8" i="20" s="1"/>
  <c r="C9" i="20" s="1"/>
  <c r="C10" i="20" s="1"/>
  <c r="W15" i="21" l="1"/>
  <c r="M37" i="19" s="1"/>
  <c r="F37" i="19"/>
  <c r="I37" i="19"/>
  <c r="R15" i="21"/>
  <c r="E123" i="20"/>
  <c r="D124" i="20"/>
  <c r="D109" i="20"/>
  <c r="E109" i="20" s="1"/>
  <c r="D117" i="20"/>
  <c r="D133" i="20"/>
  <c r="E124" i="20" l="1"/>
  <c r="D125" i="20"/>
  <c r="E125" i="20" s="1"/>
  <c r="M27" i="9" l="1"/>
  <c r="N24" i="9"/>
  <c r="F24" i="9" s="1"/>
  <c r="M24" i="9"/>
  <c r="C24" i="9"/>
  <c r="N23" i="9"/>
  <c r="M23" i="9"/>
  <c r="F23" i="9"/>
  <c r="C23" i="9"/>
  <c r="N22" i="9"/>
  <c r="F22" i="9" s="1"/>
  <c r="M22" i="9"/>
  <c r="C22" i="9"/>
  <c r="N21" i="9"/>
  <c r="M21" i="9"/>
  <c r="F21" i="9"/>
  <c r="C21" i="9"/>
  <c r="N20" i="9"/>
  <c r="F20" i="9" s="1"/>
  <c r="M20" i="9"/>
  <c r="C20" i="9"/>
  <c r="N19" i="9"/>
  <c r="M19" i="9"/>
  <c r="F19" i="9"/>
  <c r="C19" i="9"/>
  <c r="M18" i="9"/>
  <c r="E18" i="9"/>
  <c r="N18" i="9" s="1"/>
  <c r="F18" i="9" s="1"/>
  <c r="C18" i="9"/>
  <c r="E11" i="9"/>
  <c r="N11" i="9" s="1"/>
  <c r="F11" i="9" s="1"/>
  <c r="C11" i="9"/>
  <c r="N10" i="9"/>
  <c r="F10" i="9" s="1"/>
  <c r="C10" i="9"/>
  <c r="E9" i="9"/>
  <c r="N9" i="9" s="1"/>
  <c r="F9" i="9" s="1"/>
  <c r="C9" i="9"/>
  <c r="N8" i="9"/>
  <c r="F8" i="9"/>
  <c r="C8" i="9"/>
  <c r="N7" i="9"/>
  <c r="F7" i="9" s="1"/>
  <c r="E7" i="9"/>
  <c r="C7" i="9"/>
  <c r="E6" i="9"/>
  <c r="N6" i="9" s="1"/>
  <c r="F6" i="9" s="1"/>
  <c r="C6" i="9"/>
  <c r="N5" i="9"/>
  <c r="F5" i="9" s="1"/>
  <c r="E5" i="9"/>
  <c r="C5" i="9"/>
</calcChain>
</file>

<file path=xl/sharedStrings.xml><?xml version="1.0" encoding="utf-8"?>
<sst xmlns="http://schemas.openxmlformats.org/spreadsheetml/2006/main" count="529" uniqueCount="149">
  <si>
    <t>THD</t>
  </si>
  <si>
    <t>Table 1-3. PGA855 + ADS127L11 FFT Data Summary – OSR = 64, Sinc4 Filter.</t>
  </si>
  <si>
    <t>PGA Gain</t>
  </si>
  <si>
    <t>Input Amplitude (Vpk)</t>
  </si>
  <si>
    <t>SNR (dB)</t>
  </si>
  <si>
    <t>THD (dB)</t>
  </si>
  <si>
    <t>ENOB (Bits)</t>
  </si>
  <si>
    <t>SINAD</t>
  </si>
  <si>
    <t>ENOB</t>
  </si>
  <si>
    <t>(V/V)</t>
  </si>
  <si>
    <t>N/A</t>
  </si>
  <si>
    <t>Table 1-3. PGA855 + ADS127L11 FFT Data Summary – OSR = 64, Wideband Filter.</t>
  </si>
  <si>
    <t>average</t>
  </si>
  <si>
    <t>PGA Gain (V/V)</t>
  </si>
  <si>
    <t>System SNR (dB)</t>
  </si>
  <si>
    <r>
      <t>e</t>
    </r>
    <r>
      <rPr>
        <vertAlign val="subscript"/>
        <sz val="11"/>
        <color theme="0"/>
        <rFont val="Calibri"/>
        <family val="2"/>
        <scheme val="minor"/>
      </rPr>
      <t>nf</t>
    </r>
    <r>
      <rPr>
        <sz val="11"/>
        <color theme="0"/>
        <rFont val="Calibri"/>
        <family val="2"/>
        <scheme val="minor"/>
      </rPr>
      <t xml:space="preserve"> (nV/Hz)  </t>
    </r>
  </si>
  <si>
    <r>
      <t>e</t>
    </r>
    <r>
      <rPr>
        <vertAlign val="subscript"/>
        <sz val="11"/>
        <color theme="0"/>
        <rFont val="Calibri"/>
        <family val="2"/>
        <scheme val="minor"/>
      </rPr>
      <t>NI</t>
    </r>
    <r>
      <rPr>
        <sz val="11"/>
        <color theme="0"/>
        <rFont val="Calibri"/>
        <family val="2"/>
        <scheme val="minor"/>
      </rPr>
      <t xml:space="preserve"> (nV/</t>
    </r>
    <r>
      <rPr>
        <sz val="11"/>
        <color theme="0"/>
        <rFont val="Calibri"/>
        <family val="2"/>
      </rPr>
      <t>√Hz)</t>
    </r>
  </si>
  <si>
    <t>System Effective Resolution (Bits)</t>
  </si>
  <si>
    <t>ADC Digital Filter BW</t>
  </si>
  <si>
    <t>V</t>
  </si>
  <si>
    <t>ADC Noise</t>
  </si>
  <si>
    <t>ADS127L11</t>
  </si>
  <si>
    <t>PGA855 Datasheet Noise Specs</t>
  </si>
  <si>
    <t>RTO Tot PGA855 Noise (µVRMS)</t>
  </si>
  <si>
    <t>System Noise RTO (µVRMS)</t>
  </si>
  <si>
    <t>System Noise BW</t>
  </si>
  <si>
    <t>Input Referred 1/f Noise Density</t>
  </si>
  <si>
    <t>Input Referred Broadband Noise Density</t>
  </si>
  <si>
    <t>kSPS</t>
  </si>
  <si>
    <t>Hz</t>
  </si>
  <si>
    <t>System FSR (RMS)</t>
  </si>
  <si>
    <t>VRMS</t>
  </si>
  <si>
    <t xml:space="preserve">System FSR </t>
  </si>
  <si>
    <t>Mode</t>
  </si>
  <si>
    <t>OSR</t>
  </si>
  <si>
    <t>Filter</t>
  </si>
  <si>
    <t>Wideband Filter</t>
  </si>
  <si>
    <t>Data Rate (kSPS)</t>
  </si>
  <si>
    <r>
      <t>Noise (</t>
    </r>
    <r>
      <rPr>
        <sz val="11"/>
        <color theme="1"/>
        <rFont val="Calibri"/>
        <family val="2"/>
      </rPr>
      <t>µVRMS</t>
    </r>
    <r>
      <rPr>
        <sz val="11"/>
        <color theme="1"/>
        <rFont val="Calibri"/>
        <family val="2"/>
        <scheme val="minor"/>
      </rPr>
      <t>)</t>
    </r>
  </si>
  <si>
    <t>High-Speed (fclk=25.6-MHz)</t>
  </si>
  <si>
    <t>Low-Speed (fclk=3.2MHz)</t>
  </si>
  <si>
    <t>Sinc4 Filter</t>
  </si>
  <si>
    <t>MHz</t>
  </si>
  <si>
    <t>kn Brickwall correction Factor</t>
  </si>
  <si>
    <t>SINC4</t>
  </si>
  <si>
    <t>Note:  The –0.1-dB frequency of the amplitude response is 0.4125 × fDATA
and the –3-dB frequency is 0.4374 × fDATA for all data rates</t>
  </si>
  <si>
    <t>ADC</t>
  </si>
  <si>
    <t>ADS127L21</t>
  </si>
  <si>
    <t>L11_WB_HighSpeed</t>
  </si>
  <si>
    <t>L11_WB_LowSpeed</t>
  </si>
  <si>
    <t>L11_Sinc4_HighSpeed</t>
  </si>
  <si>
    <t>L11_Sinc4_LowSpeed</t>
  </si>
  <si>
    <t>L21_WB_HighSpeed</t>
  </si>
  <si>
    <t>L21_WB_LowSpeed</t>
  </si>
  <si>
    <t>L21_Sinc4_HighSpeed</t>
  </si>
  <si>
    <t>L21_Sinc4_LowSpeed</t>
  </si>
  <si>
    <t>ADS127L11 WB</t>
  </si>
  <si>
    <t>ADS127L11 SINC4</t>
  </si>
  <si>
    <t>L21_WB_MidSpeed</t>
  </si>
  <si>
    <t>L21_Sinc4_MidSpeed</t>
  </si>
  <si>
    <t>L21_WB_MaxSpeed</t>
  </si>
  <si>
    <t>L21_Sinc4_MaxSpeed</t>
  </si>
  <si>
    <t>ADS127L21 WB</t>
  </si>
  <si>
    <t>Max-Speed (fclk=32.768-MHz)</t>
  </si>
  <si>
    <t>Mid-Speed (fclk=12.8-MHz)</t>
  </si>
  <si>
    <t>Low-Speed (fclk=3.2-MHz)</t>
  </si>
  <si>
    <t>-3-dB Frequency (Hz)</t>
  </si>
  <si>
    <t>1.22 (2nd Order)</t>
  </si>
  <si>
    <t>1.57 (1st Order)</t>
  </si>
  <si>
    <t>µVRMS</t>
  </si>
  <si>
    <r>
      <t>RTO E</t>
    </r>
    <r>
      <rPr>
        <vertAlign val="subscript"/>
        <sz val="14"/>
        <color theme="0"/>
        <rFont val="Calibri"/>
        <family val="2"/>
        <scheme val="minor"/>
      </rPr>
      <t>nflicker</t>
    </r>
    <r>
      <rPr>
        <sz val="14"/>
        <color theme="0"/>
        <rFont val="Calibri"/>
        <family val="2"/>
        <scheme val="minor"/>
      </rPr>
      <t xml:space="preserve"> (µVRMS)</t>
    </r>
  </si>
  <si>
    <r>
      <t>RTO E</t>
    </r>
    <r>
      <rPr>
        <vertAlign val="subscript"/>
        <sz val="14"/>
        <color theme="0"/>
        <rFont val="Calibri"/>
        <family val="2"/>
        <scheme val="minor"/>
      </rPr>
      <t>nBB</t>
    </r>
    <r>
      <rPr>
        <sz val="14"/>
        <color theme="0"/>
        <rFont val="Calibri"/>
        <family val="2"/>
        <scheme val="minor"/>
      </rPr>
      <t xml:space="preserve"> (µVRMS)</t>
    </r>
  </si>
  <si>
    <t>PGA855 and ADS127Lx1 SNR and Noise Calculator</t>
  </si>
  <si>
    <t>INPUTS: CELLS HIGHLIGHTED IN BLUE</t>
  </si>
  <si>
    <t>Signal Source Noise</t>
  </si>
  <si>
    <t>Ω (Ohms)</t>
  </si>
  <si>
    <t>Kn Brickwall Correction Factor</t>
  </si>
  <si>
    <t>Column1</t>
  </si>
  <si>
    <t>Calculations</t>
  </si>
  <si>
    <t>FCLK</t>
  </si>
  <si>
    <t>L11</t>
  </si>
  <si>
    <t>L21</t>
  </si>
  <si>
    <r>
      <t>PGA855 Circuit BW f</t>
    </r>
    <r>
      <rPr>
        <b/>
        <vertAlign val="subscript"/>
        <sz val="16"/>
        <color theme="3"/>
        <rFont val="Calibri"/>
        <family val="2"/>
        <scheme val="minor"/>
      </rPr>
      <t>-3dB</t>
    </r>
  </si>
  <si>
    <t>PGA Gain
(V/V)</t>
  </si>
  <si>
    <t>System SNR
 (dB)</t>
  </si>
  <si>
    <t>PGA855 RTI Enflicker (µVRMS)</t>
  </si>
  <si>
    <r>
      <t>PGA855 RTI E</t>
    </r>
    <r>
      <rPr>
        <vertAlign val="subscript"/>
        <sz val="14"/>
        <color theme="0"/>
        <rFont val="Calibri"/>
        <family val="2"/>
        <scheme val="minor"/>
      </rPr>
      <t>nBB</t>
    </r>
    <r>
      <rPr>
        <sz val="14"/>
        <color theme="0"/>
        <rFont val="Calibri"/>
        <family val="2"/>
        <scheme val="minor"/>
      </rPr>
      <t xml:space="preserve"> (µVRMS)</t>
    </r>
  </si>
  <si>
    <r>
      <t>PGA855 RTI Total</t>
    </r>
    <r>
      <rPr>
        <sz val="14"/>
        <color theme="0"/>
        <rFont val="Calibri"/>
        <family val="2"/>
        <scheme val="minor"/>
      </rPr>
      <t xml:space="preserve"> (µVRMS)</t>
    </r>
  </si>
  <si>
    <t>PGA855 Current noise Density</t>
  </si>
  <si>
    <t>PGA855 Datasheet Current Noise Specs</t>
  </si>
  <si>
    <t>1/f Current Noise Density</t>
  </si>
  <si>
    <r>
      <rPr>
        <sz val="11"/>
        <color theme="0"/>
        <rFont val="Calibri"/>
        <family val="2"/>
        <scheme val="minor"/>
      </rPr>
      <t>iN (pA/</t>
    </r>
    <r>
      <rPr>
        <sz val="11"/>
        <color theme="0"/>
        <rFont val="Calibri"/>
        <family val="2"/>
      </rPr>
      <t>√Hz)</t>
    </r>
  </si>
  <si>
    <r>
      <t>iNf (pA/</t>
    </r>
    <r>
      <rPr>
        <sz val="11"/>
        <color theme="0"/>
        <rFont val="Calibri"/>
        <family val="2"/>
      </rPr>
      <t>√Hz)</t>
    </r>
  </si>
  <si>
    <t>PGA855 Current
Eni flicker2</t>
  </si>
  <si>
    <t>PGA855 Current
Eni BB
(µVRMS)</t>
  </si>
  <si>
    <r>
      <t>RTO Current
Eo</t>
    </r>
    <r>
      <rPr>
        <vertAlign val="subscript"/>
        <sz val="14"/>
        <color theme="0"/>
        <rFont val="Calibri"/>
        <family val="2"/>
        <scheme val="minor"/>
      </rPr>
      <t>flicker</t>
    </r>
  </si>
  <si>
    <t>RTO Current
EBB</t>
  </si>
  <si>
    <t>Req Noise RTI (µVRMS)</t>
  </si>
  <si>
    <t>Total Source Noise RTI (µVRMS)</t>
  </si>
  <si>
    <t>Total Source Noise RTO (µVRMS)</t>
  </si>
  <si>
    <r>
      <rPr>
        <b/>
        <sz val="16"/>
        <color rgb="FFFF0000"/>
        <rFont val="Calibri"/>
        <family val="2"/>
        <scheme val="minor"/>
      </rPr>
      <t>(1)</t>
    </r>
    <r>
      <rPr>
        <b/>
        <sz val="16"/>
        <color theme="3"/>
        <rFont val="Calibri"/>
        <family val="2"/>
        <scheme val="minor"/>
      </rPr>
      <t xml:space="preserve"> Select ADC</t>
    </r>
  </si>
  <si>
    <r>
      <rPr>
        <b/>
        <sz val="16"/>
        <color rgb="FFFF0000"/>
        <rFont val="Calibri"/>
        <family val="2"/>
        <scheme val="minor"/>
      </rPr>
      <t>(2)</t>
    </r>
    <r>
      <rPr>
        <b/>
        <sz val="16"/>
        <color theme="3"/>
        <rFont val="Calibri"/>
        <family val="2"/>
        <scheme val="minor"/>
      </rPr>
      <t xml:space="preserve"> Digital Filter / Speed</t>
    </r>
  </si>
  <si>
    <r>
      <rPr>
        <b/>
        <sz val="16"/>
        <color rgb="FFFF0000"/>
        <rFont val="Calibri"/>
        <family val="2"/>
        <scheme val="minor"/>
      </rPr>
      <t>(3)</t>
    </r>
    <r>
      <rPr>
        <b/>
        <sz val="16"/>
        <color theme="3"/>
        <rFont val="Calibri"/>
        <family val="2"/>
        <scheme val="minor"/>
      </rPr>
      <t xml:space="preserve"> Data Rate</t>
    </r>
  </si>
  <si>
    <r>
      <t xml:space="preserve">NOTE: </t>
    </r>
    <r>
      <rPr>
        <b/>
        <sz val="14"/>
        <color theme="1"/>
        <rFont val="Calibri"/>
        <family val="2"/>
        <scheme val="minor"/>
      </rPr>
      <t>Select ADC first</t>
    </r>
  </si>
  <si>
    <r>
      <rPr>
        <b/>
        <sz val="14"/>
        <color rgb="FFFF0000"/>
        <rFont val="Calibri"/>
        <family val="2"/>
        <scheme val="minor"/>
      </rPr>
      <t xml:space="preserve">NOTE: </t>
    </r>
    <r>
      <rPr>
        <b/>
        <sz val="14"/>
        <color theme="1"/>
        <rFont val="Calibri"/>
        <family val="2"/>
        <scheme val="minor"/>
      </rPr>
      <t xml:space="preserve"> When changing ADC, </t>
    </r>
    <r>
      <rPr>
        <b/>
        <u/>
        <sz val="14"/>
        <color theme="1"/>
        <rFont val="Calibri"/>
        <family val="2"/>
        <scheme val="minor"/>
      </rPr>
      <t>always</t>
    </r>
    <r>
      <rPr>
        <b/>
        <sz val="14"/>
        <color theme="1"/>
        <rFont val="Calibri"/>
        <family val="2"/>
        <scheme val="minor"/>
      </rPr>
      <t xml:space="preserve"> re-select digital-filter and data rate</t>
    </r>
  </si>
  <si>
    <r>
      <rPr>
        <b/>
        <sz val="14"/>
        <color rgb="FFFF0000"/>
        <rFont val="Calibri"/>
        <family val="2"/>
        <scheme val="minor"/>
      </rPr>
      <t>NOTE:</t>
    </r>
    <r>
      <rPr>
        <b/>
        <sz val="14"/>
        <color theme="1"/>
        <rFont val="Calibri"/>
        <family val="2"/>
        <scheme val="minor"/>
      </rPr>
      <t xml:space="preserve">  When changing ADC and/or ADC filter, </t>
    </r>
    <r>
      <rPr>
        <b/>
        <u/>
        <sz val="14"/>
        <color theme="1"/>
        <rFont val="Calibri"/>
        <family val="2"/>
        <scheme val="minor"/>
      </rPr>
      <t>always</t>
    </r>
    <r>
      <rPr>
        <b/>
        <sz val="14"/>
        <color theme="1"/>
        <rFont val="Calibri"/>
        <family val="2"/>
        <scheme val="minor"/>
      </rPr>
      <t xml:space="preserve"> re-select data-rate</t>
    </r>
  </si>
  <si>
    <t>REF Voltage</t>
  </si>
  <si>
    <t>Signal Source Parameters (Inputs)</t>
  </si>
  <si>
    <t>PGA855 Parameters (Inputs)</t>
  </si>
  <si>
    <t>ADC Reference Parameters (Inputs)</t>
  </si>
  <si>
    <t>Delta-Sigma ADC Parameters (Inputs)</t>
  </si>
  <si>
    <t>System Noise: Source + PGA + ADC + REF  (Results)</t>
  </si>
  <si>
    <r>
      <t>System RTI Noise
 (</t>
    </r>
    <r>
      <rPr>
        <sz val="16"/>
        <color theme="0"/>
        <rFont val="Calibri"/>
        <family val="2"/>
      </rPr>
      <t>µVRMS)</t>
    </r>
  </si>
  <si>
    <r>
      <t>System RTO Noise
 (</t>
    </r>
    <r>
      <rPr>
        <sz val="16"/>
        <color theme="0"/>
        <rFont val="Calibri"/>
        <family val="2"/>
      </rPr>
      <t>µVRMS)</t>
    </r>
  </si>
  <si>
    <r>
      <t>Effective Resolution
 (Bits</t>
    </r>
    <r>
      <rPr>
        <b/>
        <sz val="16"/>
        <color theme="0"/>
        <rFont val="Calibri"/>
        <family val="2"/>
      </rPr>
      <t>)</t>
    </r>
  </si>
  <si>
    <r>
      <t>PGA855 RTI Total Noise
 (</t>
    </r>
    <r>
      <rPr>
        <sz val="16"/>
        <color theme="0"/>
        <rFont val="Calibri"/>
        <family val="2"/>
      </rPr>
      <t>µVRMS)</t>
    </r>
  </si>
  <si>
    <r>
      <t>PGA855 Total RTO Noise
 (</t>
    </r>
    <r>
      <rPr>
        <sz val="16"/>
        <color theme="0"/>
        <rFont val="Calibri"/>
        <family val="2"/>
      </rPr>
      <t>µVRMS)</t>
    </r>
  </si>
  <si>
    <t>PGA855 Noise Contibution (Results)</t>
  </si>
  <si>
    <t>ADC Noise and Digital Filter BW (Results)</t>
  </si>
  <si>
    <r>
      <rPr>
        <b/>
        <u/>
        <sz val="18"/>
        <color theme="0"/>
        <rFont val="Calibri"/>
        <family val="2"/>
        <scheme val="minor"/>
      </rPr>
      <t xml:space="preserve">Tip:
</t>
    </r>
    <r>
      <rPr>
        <sz val="18"/>
        <color theme="0"/>
        <rFont val="Calibri"/>
        <family val="2"/>
        <scheme val="minor"/>
      </rPr>
      <t>When changing (1) ADC settings, always re-select (2) Digital Filter, and (3) Data Rate for proper calculation.</t>
    </r>
  </si>
  <si>
    <t>Req ewuivalnet noise both inputs</t>
  </si>
  <si>
    <r>
      <rPr>
        <sz val="12"/>
        <color theme="3"/>
        <rFont val="Calibri"/>
        <family val="2"/>
        <scheme val="minor"/>
      </rPr>
      <t>Source Resistance</t>
    </r>
    <r>
      <rPr>
        <b/>
        <sz val="12"/>
        <color theme="3"/>
        <rFont val="Calibri"/>
        <family val="2"/>
        <scheme val="minor"/>
      </rPr>
      <t xml:space="preserve">
 </t>
    </r>
    <r>
      <rPr>
        <b/>
        <sz val="10"/>
        <color theme="3"/>
        <rFont val="Calibri"/>
        <family val="2"/>
        <scheme val="minor"/>
      </rPr>
      <t>(R equivalent, At Each Input)</t>
    </r>
  </si>
  <si>
    <t>Req Noise (each Input)
 (nV/√Hz)</t>
  </si>
  <si>
    <r>
      <t>Req Noise (Combined In+/In-)
 (n</t>
    </r>
    <r>
      <rPr>
        <sz val="16"/>
        <color theme="0"/>
        <rFont val="Calibri"/>
        <family val="2"/>
      </rPr>
      <t>V/√Hz)</t>
    </r>
  </si>
  <si>
    <t>Req ewuivalnet noise each inputs</t>
  </si>
  <si>
    <r>
      <t>Source RTO  Noise
 (</t>
    </r>
    <r>
      <rPr>
        <sz val="16"/>
        <color theme="0"/>
        <rFont val="Calibri"/>
        <family val="2"/>
      </rPr>
      <t>µVRMS)</t>
    </r>
  </si>
  <si>
    <t>Rnoise source</t>
  </si>
  <si>
    <r>
      <t>Req Noise
(</t>
    </r>
    <r>
      <rPr>
        <sz val="16"/>
        <color theme="0"/>
        <rFont val="Calibri"/>
        <family val="2"/>
      </rPr>
      <t>µ</t>
    </r>
    <r>
      <rPr>
        <sz val="11.2"/>
        <color theme="0"/>
        <rFont val="Calibri"/>
        <family val="2"/>
      </rPr>
      <t>VRMS)</t>
    </r>
  </si>
  <si>
    <t>Req Noise Contibution RTI  (Results)</t>
  </si>
  <si>
    <r>
      <t>Total Source RTI Noise  (</t>
    </r>
    <r>
      <rPr>
        <sz val="16"/>
        <color theme="0"/>
        <rFont val="Calibri"/>
        <family val="2"/>
      </rPr>
      <t>µVRMS)</t>
    </r>
  </si>
  <si>
    <r>
      <rPr>
        <b/>
        <sz val="9"/>
        <color theme="1"/>
        <rFont val="Calibri"/>
        <family val="2"/>
        <scheme val="minor"/>
      </rPr>
      <t xml:space="preserve">NOTE: </t>
    </r>
    <r>
      <rPr>
        <sz val="9"/>
        <color theme="1"/>
        <rFont val="Calibri"/>
        <family val="2"/>
        <scheme val="minor"/>
      </rPr>
      <t>The calculator accounts only for the PGA855, and ADC intrinsic circuit noise to provide an estimate of noise performance. When measuring SNR, use a high-performance, very low noise, low distortion source. Measurements are sensitive to extrinsic noise, source noise/distortion, and jitter in the signal/clock.</t>
    </r>
  </si>
  <si>
    <t>Reference</t>
  </si>
  <si>
    <t>REF</t>
  </si>
  <si>
    <t xml:space="preserve">Frequency </t>
  </si>
  <si>
    <t>VREF</t>
  </si>
  <si>
    <t>ENBW</t>
  </si>
  <si>
    <t>REF6241</t>
  </si>
  <si>
    <t>Other</t>
  </si>
  <si>
    <t>Noise REF6241</t>
  </si>
  <si>
    <t>Noise REF7041</t>
  </si>
  <si>
    <t>REF7040</t>
  </si>
  <si>
    <t>REF Noise</t>
  </si>
  <si>
    <t>NOTE:  For  "other" reference, enter the REF noise at System Noise BW</t>
  </si>
  <si>
    <t>REF_Voltage</t>
  </si>
  <si>
    <t>uVRMS</t>
  </si>
  <si>
    <t>REF Noise @ Noise BW</t>
  </si>
  <si>
    <t>REF noise (other)</t>
  </si>
  <si>
    <t>REF Voltage (Other)</t>
  </si>
  <si>
    <t>Rev. A - March 18, 2024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</si>
</sst>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00"/>
    <numFmt numFmtId="165" formatCode="0.0"/>
  </numFmts>
  <fonts count="48" x14ac:knownFonts="1">
    <font>
      <sz val="11"/>
      <color theme="1"/>
      <name val="Calibri"/>
      <family val="2"/>
      <scheme val="minor"/>
    </font>
    <font>
      <b/>
      <sz val="16"/>
      <color rgb="FF002060"/>
      <name val="Calibri"/>
      <family val="2"/>
      <scheme val="minor"/>
    </font>
    <font>
      <sz val="16"/>
      <color rgb="FF002060"/>
      <name val="Calibri"/>
      <family val="2"/>
      <scheme val="minor"/>
    </font>
    <font>
      <b/>
      <sz val="11"/>
      <color theme="1"/>
      <name val="Calibri"/>
      <family val="2"/>
      <scheme val="minor"/>
    </font>
    <font>
      <sz val="11"/>
      <color rgb="FF000000"/>
      <name val="Calibri"/>
      <family val="2"/>
      <scheme val="minor"/>
    </font>
    <font>
      <b/>
      <sz val="11"/>
      <color theme="0"/>
      <name val="Calibri"/>
      <family val="2"/>
      <scheme val="minor"/>
    </font>
    <font>
      <sz val="11"/>
      <color theme="0"/>
      <name val="Calibri"/>
      <family val="2"/>
      <scheme val="minor"/>
    </font>
    <font>
      <sz val="11"/>
      <color theme="1"/>
      <name val="Calibri"/>
      <family val="2"/>
    </font>
    <font>
      <vertAlign val="subscript"/>
      <sz val="11"/>
      <color theme="0"/>
      <name val="Calibri"/>
      <family val="2"/>
      <scheme val="minor"/>
    </font>
    <font>
      <sz val="11"/>
      <color theme="0"/>
      <name val="Calibri"/>
      <family val="2"/>
    </font>
    <font>
      <sz val="11"/>
      <color rgb="FF3F3F76"/>
      <name val="Calibri"/>
      <family val="2"/>
      <scheme val="minor"/>
    </font>
    <font>
      <b/>
      <sz val="18"/>
      <color theme="1"/>
      <name val="Calibri"/>
      <family val="2"/>
      <scheme val="minor"/>
    </font>
    <font>
      <b/>
      <sz val="14"/>
      <color theme="1"/>
      <name val="Calibri"/>
      <family val="2"/>
      <scheme val="minor"/>
    </font>
    <font>
      <b/>
      <sz val="15"/>
      <color theme="3"/>
      <name val="Calibri"/>
      <family val="2"/>
      <scheme val="minor"/>
    </font>
    <font>
      <b/>
      <sz val="13"/>
      <color theme="3"/>
      <name val="Calibri"/>
      <family val="2"/>
      <scheme val="minor"/>
    </font>
    <font>
      <sz val="14"/>
      <color theme="1"/>
      <name val="Calibri"/>
      <family val="2"/>
      <scheme val="minor"/>
    </font>
    <font>
      <sz val="14"/>
      <color theme="0"/>
      <name val="Calibri"/>
      <family val="2"/>
      <scheme val="minor"/>
    </font>
    <font>
      <b/>
      <sz val="14"/>
      <color theme="0"/>
      <name val="Calibri"/>
      <family val="2"/>
      <scheme val="minor"/>
    </font>
    <font>
      <vertAlign val="subscript"/>
      <sz val="14"/>
      <color theme="0"/>
      <name val="Calibri"/>
      <family val="2"/>
      <scheme val="minor"/>
    </font>
    <font>
      <sz val="14"/>
      <color theme="0" tint="-0.14999847407452621"/>
      <name val="Calibri"/>
      <family val="2"/>
      <scheme val="minor"/>
    </font>
    <font>
      <b/>
      <sz val="26"/>
      <color theme="1"/>
      <name val="Calibri"/>
      <family val="2"/>
      <scheme val="minor"/>
    </font>
    <font>
      <b/>
      <sz val="26"/>
      <color theme="3"/>
      <name val="Calibri"/>
      <family val="2"/>
      <scheme val="minor"/>
    </font>
    <font>
      <b/>
      <sz val="14"/>
      <color theme="1"/>
      <name val="Calibri"/>
      <family val="2"/>
    </font>
    <font>
      <sz val="11"/>
      <name val="Calibri"/>
      <family val="2"/>
      <scheme val="minor"/>
    </font>
    <font>
      <b/>
      <sz val="11"/>
      <color rgb="FF3F3F3F"/>
      <name val="Calibri"/>
      <family val="2"/>
      <scheme val="minor"/>
    </font>
    <font>
      <b/>
      <sz val="16"/>
      <color theme="3"/>
      <name val="Calibri"/>
      <family val="2"/>
      <scheme val="minor"/>
    </font>
    <font>
      <b/>
      <vertAlign val="subscript"/>
      <sz val="16"/>
      <color theme="3"/>
      <name val="Calibri"/>
      <family val="2"/>
      <scheme val="minor"/>
    </font>
    <font>
      <sz val="20"/>
      <color theme="1"/>
      <name val="Calibri"/>
      <family val="2"/>
      <scheme val="minor"/>
    </font>
    <font>
      <b/>
      <sz val="16"/>
      <color theme="0"/>
      <name val="Calibri"/>
      <family val="2"/>
      <scheme val="minor"/>
    </font>
    <font>
      <b/>
      <sz val="20"/>
      <color theme="3"/>
      <name val="Calibri"/>
      <family val="2"/>
      <scheme val="minor"/>
    </font>
    <font>
      <b/>
      <sz val="14"/>
      <color rgb="FFFF0000"/>
      <name val="Calibri"/>
      <family val="2"/>
      <scheme val="minor"/>
    </font>
    <font>
      <b/>
      <sz val="16"/>
      <color theme="1"/>
      <name val="Calibri"/>
      <family val="2"/>
      <scheme val="minor"/>
    </font>
    <font>
      <b/>
      <sz val="16"/>
      <color rgb="FFFF0000"/>
      <name val="Calibri"/>
      <family val="2"/>
      <scheme val="minor"/>
    </font>
    <font>
      <sz val="16"/>
      <color theme="0"/>
      <name val="Calibri"/>
      <family val="2"/>
      <scheme val="minor"/>
    </font>
    <font>
      <b/>
      <u/>
      <sz val="14"/>
      <color theme="1"/>
      <name val="Calibri"/>
      <family val="2"/>
      <scheme val="minor"/>
    </font>
    <font>
      <i/>
      <sz val="11"/>
      <color theme="1"/>
      <name val="Calibri"/>
      <family val="2"/>
      <scheme val="minor"/>
    </font>
    <font>
      <b/>
      <sz val="18"/>
      <color theme="0"/>
      <name val="Calibri"/>
      <family val="2"/>
      <scheme val="minor"/>
    </font>
    <font>
      <sz val="18"/>
      <color theme="0"/>
      <name val="Calibri"/>
      <family val="2"/>
      <scheme val="minor"/>
    </font>
    <font>
      <sz val="16"/>
      <color theme="0"/>
      <name val="Calibri"/>
      <family val="2"/>
    </font>
    <font>
      <b/>
      <sz val="16"/>
      <color theme="0"/>
      <name val="Calibri"/>
      <family val="2"/>
    </font>
    <font>
      <sz val="16"/>
      <name val="Calibri"/>
      <family val="2"/>
      <scheme val="minor"/>
    </font>
    <font>
      <b/>
      <u/>
      <sz val="18"/>
      <color theme="0"/>
      <name val="Calibri"/>
      <family val="2"/>
      <scheme val="minor"/>
    </font>
    <font>
      <b/>
      <sz val="10"/>
      <color theme="3"/>
      <name val="Calibri"/>
      <family val="2"/>
      <scheme val="minor"/>
    </font>
    <font>
      <b/>
      <sz val="12"/>
      <color theme="3"/>
      <name val="Calibri"/>
      <family val="2"/>
      <scheme val="minor"/>
    </font>
    <font>
      <sz val="12"/>
      <color theme="3"/>
      <name val="Calibri"/>
      <family val="2"/>
      <scheme val="minor"/>
    </font>
    <font>
      <sz val="11.2"/>
      <color theme="0"/>
      <name val="Calibri"/>
      <family val="2"/>
    </font>
    <font>
      <sz val="9"/>
      <color theme="1"/>
      <name val="Calibri"/>
      <family val="2"/>
      <scheme val="minor"/>
    </font>
    <font>
      <b/>
      <sz val="9"/>
      <color theme="1"/>
      <name val="Calibri"/>
      <family val="2"/>
      <scheme val="minor"/>
    </font>
  </fonts>
  <fills count="23">
    <fill>
      <patternFill patternType="none"/>
    </fill>
    <fill>
      <patternFill patternType="gray125"/>
    </fill>
    <fill>
      <patternFill patternType="solid">
        <fgColor theme="4"/>
        <bgColor theme="4"/>
      </patternFill>
    </fill>
    <fill>
      <patternFill patternType="solid">
        <fgColor theme="4" tint="0.79998168889431442"/>
        <bgColor theme="4" tint="0.79998168889431442"/>
      </patternFill>
    </fill>
    <fill>
      <patternFill patternType="solid">
        <fgColor rgb="FFA6A6A6"/>
        <bgColor indexed="64"/>
      </patternFill>
    </fill>
    <fill>
      <patternFill patternType="solid">
        <fgColor theme="4"/>
        <bgColor indexed="64"/>
      </patternFill>
    </fill>
    <fill>
      <patternFill patternType="solid">
        <fgColor rgb="FFFFCC99"/>
      </patternFill>
    </fill>
    <fill>
      <patternFill patternType="solid">
        <fgColor theme="0"/>
        <bgColor theme="4" tint="0.79998168889431442"/>
      </patternFill>
    </fill>
    <fill>
      <patternFill patternType="solid">
        <fgColor theme="0"/>
        <bgColor indexed="64"/>
      </patternFill>
    </fill>
    <fill>
      <patternFill patternType="solid">
        <fgColor theme="4" tint="0.59999389629810485"/>
        <bgColor theme="4" tint="0.79998168889431442"/>
      </patternFill>
    </fill>
    <fill>
      <patternFill patternType="solid">
        <fgColor theme="0" tint="-0.34998626667073579"/>
        <bgColor indexed="64"/>
      </patternFill>
    </fill>
    <fill>
      <patternFill patternType="solid">
        <fgColor rgb="FF00B050"/>
        <bgColor indexed="64"/>
      </patternFill>
    </fill>
    <fill>
      <patternFill patternType="solid">
        <fgColor theme="4" tint="0.59999389629810485"/>
        <bgColor indexed="64"/>
      </patternFill>
    </fill>
    <fill>
      <patternFill patternType="solid">
        <fgColor rgb="FF00B050"/>
        <bgColor theme="4"/>
      </patternFill>
    </fill>
    <fill>
      <patternFill patternType="solid">
        <fgColor rgb="FFF2F2F2"/>
      </patternFill>
    </fill>
    <fill>
      <patternFill patternType="solid">
        <fgColor rgb="FFFFFF00"/>
        <bgColor indexed="64"/>
      </patternFill>
    </fill>
    <fill>
      <patternFill patternType="solid">
        <fgColor theme="1"/>
        <bgColor indexed="64"/>
      </patternFill>
    </fill>
    <fill>
      <patternFill patternType="solid">
        <fgColor theme="1" tint="4.9989318521683403E-2"/>
        <bgColor indexed="64"/>
      </patternFill>
    </fill>
    <fill>
      <patternFill patternType="solid">
        <fgColor rgb="FF002060"/>
        <bgColor indexed="64"/>
      </patternFill>
    </fill>
    <fill>
      <patternFill patternType="solid">
        <fgColor theme="0" tint="-0.249977111117893"/>
        <bgColor theme="4" tint="0.79998168889431442"/>
      </patternFill>
    </fill>
    <fill>
      <patternFill patternType="solid">
        <fgColor theme="0" tint="-0.14999847407452621"/>
        <bgColor theme="4" tint="0.79998168889431442"/>
      </patternFill>
    </fill>
    <fill>
      <patternFill patternType="solid">
        <fgColor theme="4"/>
      </patternFill>
    </fill>
    <fill>
      <patternFill patternType="solid">
        <fgColor theme="4" tint="-0.249977111117893"/>
        <bgColor indexed="64"/>
      </patternFill>
    </fill>
  </fills>
  <borders count="55">
    <border>
      <left/>
      <right/>
      <top/>
      <bottom/>
      <diagonal/>
    </border>
    <border>
      <left/>
      <right/>
      <top style="thin">
        <color theme="4" tint="0.39997558519241921"/>
      </top>
      <bottom style="thin">
        <color theme="4" tint="0.39997558519241921"/>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7F7F7F"/>
      </left>
      <right style="thin">
        <color rgb="FF7F7F7F"/>
      </right>
      <top style="thin">
        <color rgb="FF7F7F7F"/>
      </top>
      <bottom style="thin">
        <color rgb="FF7F7F7F"/>
      </bottom>
      <diagonal/>
    </border>
    <border>
      <left style="thin">
        <color auto="1"/>
      </left>
      <right/>
      <top style="thin">
        <color auto="1"/>
      </top>
      <bottom style="thin">
        <color auto="1"/>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top/>
      <bottom style="thick">
        <color theme="4"/>
      </bottom>
      <diagonal/>
    </border>
    <border>
      <left/>
      <right/>
      <top/>
      <bottom style="thick">
        <color theme="4" tint="0.499984740745262"/>
      </bottom>
      <diagonal/>
    </border>
    <border>
      <left style="thin">
        <color rgb="FF8EA9DB"/>
      </left>
      <right style="thin">
        <color rgb="FF7F7F7F"/>
      </right>
      <top style="thin">
        <color rgb="FF7F7F7F"/>
      </top>
      <bottom style="thin">
        <color rgb="FF7F7F7F"/>
      </bottom>
      <diagonal/>
    </border>
    <border>
      <left style="thin">
        <color rgb="FF8EA9DB"/>
      </left>
      <right/>
      <top/>
      <bottom/>
      <diagonal/>
    </border>
    <border>
      <left style="thin">
        <color rgb="FF8EA9DB"/>
      </left>
      <right/>
      <top/>
      <bottom style="thin">
        <color rgb="FF8EA9DB"/>
      </bottom>
      <diagonal/>
    </border>
    <border>
      <left/>
      <right/>
      <top/>
      <bottom style="thin">
        <color rgb="FF8EA9DB"/>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rgb="FF7F7F7F"/>
      </bottom>
      <diagonal/>
    </border>
    <border>
      <left style="thin">
        <color rgb="FF7F7F7F"/>
      </left>
      <right style="thin">
        <color rgb="FF7F7F7F"/>
      </right>
      <top style="thin">
        <color rgb="FF7F7F7F"/>
      </top>
      <bottom/>
      <diagonal/>
    </border>
    <border>
      <left style="thin">
        <color rgb="FF7F7F7F"/>
      </left>
      <right style="thin">
        <color rgb="FF7F7F7F"/>
      </right>
      <top/>
      <bottom style="thin">
        <color rgb="FF7F7F7F"/>
      </bottom>
      <diagonal/>
    </border>
    <border>
      <left style="thin">
        <color rgb="FF3F3F3F"/>
      </left>
      <right style="thin">
        <color rgb="FF3F3F3F"/>
      </right>
      <top style="thin">
        <color rgb="FF3F3F3F"/>
      </top>
      <bottom style="thin">
        <color rgb="FF3F3F3F"/>
      </bottom>
      <diagonal/>
    </border>
    <border>
      <left style="thin">
        <color rgb="FF8EA9DB"/>
      </left>
      <right style="thin">
        <color indexed="64"/>
      </right>
      <top style="thin">
        <color indexed="64"/>
      </top>
      <bottom style="thin">
        <color indexed="64"/>
      </bottom>
      <diagonal/>
    </border>
    <border>
      <left style="thin">
        <color rgb="FF8EA9DB"/>
      </left>
      <right style="thin">
        <color indexed="64"/>
      </right>
      <top style="thin">
        <color indexed="64"/>
      </top>
      <bottom style="thin">
        <color rgb="FF8EA9DB"/>
      </bottom>
      <diagonal/>
    </border>
    <border>
      <left/>
      <right/>
      <top/>
      <bottom style="thin">
        <color auto="1"/>
      </bottom>
      <diagonal/>
    </border>
    <border>
      <left/>
      <right/>
      <top style="thick">
        <color theme="4" tint="0.499984740745262"/>
      </top>
      <bottom/>
      <diagonal/>
    </border>
    <border>
      <left style="medium">
        <color indexed="64"/>
      </left>
      <right style="thin">
        <color rgb="FF3F3F3F"/>
      </right>
      <top style="medium">
        <color indexed="64"/>
      </top>
      <bottom/>
      <diagonal/>
    </border>
    <border>
      <left style="medium">
        <color indexed="64"/>
      </left>
      <right style="thin">
        <color rgb="FF3F3F3F"/>
      </right>
      <top/>
      <bottom style="medium">
        <color indexed="64"/>
      </bottom>
      <diagonal/>
    </border>
    <border>
      <left/>
      <right style="medium">
        <color indexed="64"/>
      </right>
      <top/>
      <bottom/>
      <diagonal/>
    </border>
    <border>
      <left/>
      <right style="medium">
        <color indexed="64"/>
      </right>
      <top/>
      <bottom style="thick">
        <color theme="4" tint="0.499984740745262"/>
      </bottom>
      <diagonal/>
    </border>
    <border>
      <left/>
      <right style="medium">
        <color indexed="64"/>
      </right>
      <top style="thick">
        <color theme="4" tint="0.499984740745262"/>
      </top>
      <bottom/>
      <diagonal/>
    </border>
    <border>
      <left style="thin">
        <color auto="1"/>
      </left>
      <right style="thin">
        <color theme="9"/>
      </right>
      <top style="thin">
        <color rgb="FF8EA9DB"/>
      </top>
      <bottom style="thin">
        <color auto="1"/>
      </bottom>
      <diagonal/>
    </border>
    <border>
      <left style="thin">
        <color rgb="FF8EA9DB"/>
      </left>
      <right style="thin">
        <color indexed="64"/>
      </right>
      <top style="thin">
        <color rgb="FF8EA9DB"/>
      </top>
      <bottom style="thin">
        <color indexed="64"/>
      </bottom>
      <diagonal/>
    </border>
    <border>
      <left style="thin">
        <color theme="9"/>
      </left>
      <right style="thin">
        <color theme="9"/>
      </right>
      <top style="thin">
        <color theme="9"/>
      </top>
      <bottom style="thin">
        <color theme="9"/>
      </bottom>
      <diagonal/>
    </border>
    <border>
      <left style="thin">
        <color rgb="FF8EA9DB"/>
      </left>
      <right/>
      <top style="thin">
        <color indexed="64"/>
      </top>
      <bottom style="thin">
        <color indexed="64"/>
      </bottom>
      <diagonal/>
    </border>
    <border>
      <left style="thin">
        <color rgb="FF8EA9DB"/>
      </left>
      <right/>
      <top style="thin">
        <color indexed="64"/>
      </top>
      <bottom style="thin">
        <color rgb="FF8EA9DB"/>
      </bottom>
      <diagonal/>
    </border>
    <border>
      <left style="thick">
        <color theme="1" tint="4.9989318521683403E-2"/>
      </left>
      <right style="medium">
        <color indexed="64"/>
      </right>
      <top style="thick">
        <color theme="1" tint="4.9989318521683403E-2"/>
      </top>
      <bottom/>
      <diagonal/>
    </border>
    <border>
      <left/>
      <right style="thick">
        <color theme="1" tint="4.9989318521683403E-2"/>
      </right>
      <top style="thick">
        <color theme="1" tint="4.9989318521683403E-2"/>
      </top>
      <bottom/>
      <diagonal/>
    </border>
    <border>
      <left style="thick">
        <color theme="1" tint="4.9989318521683403E-2"/>
      </left>
      <right style="medium">
        <color indexed="64"/>
      </right>
      <top/>
      <bottom/>
      <diagonal/>
    </border>
    <border>
      <left/>
      <right style="thick">
        <color theme="1" tint="4.9989318521683403E-2"/>
      </right>
      <top/>
      <bottom/>
      <diagonal/>
    </border>
    <border>
      <left style="thick">
        <color theme="1" tint="4.9989318521683403E-2"/>
      </left>
      <right style="medium">
        <color indexed="64"/>
      </right>
      <top/>
      <bottom style="thick">
        <color theme="4" tint="0.499984740745262"/>
      </bottom>
      <diagonal/>
    </border>
    <border>
      <left/>
      <right style="thick">
        <color theme="1" tint="4.9989318521683403E-2"/>
      </right>
      <top/>
      <bottom style="thick">
        <color theme="4" tint="0.499984740745262"/>
      </bottom>
      <diagonal/>
    </border>
    <border>
      <left style="thick">
        <color theme="1" tint="4.9989318521683403E-2"/>
      </left>
      <right style="thin">
        <color indexed="64"/>
      </right>
      <top style="thin">
        <color indexed="64"/>
      </top>
      <bottom style="thin">
        <color indexed="64"/>
      </bottom>
      <diagonal/>
    </border>
    <border>
      <left style="thin">
        <color rgb="FF8EA9DB"/>
      </left>
      <right style="thick">
        <color theme="1" tint="4.9989318521683403E-2"/>
      </right>
      <top style="thin">
        <color indexed="64"/>
      </top>
      <bottom style="thin">
        <color indexed="64"/>
      </bottom>
      <diagonal/>
    </border>
    <border>
      <left style="thick">
        <color theme="1" tint="4.9989318521683403E-2"/>
      </left>
      <right style="thin">
        <color indexed="64"/>
      </right>
      <top style="thin">
        <color indexed="64"/>
      </top>
      <bottom style="thick">
        <color theme="1" tint="4.9989318521683403E-2"/>
      </bottom>
      <diagonal/>
    </border>
    <border>
      <left style="thin">
        <color rgb="FF8EA9DB"/>
      </left>
      <right style="thick">
        <color theme="1" tint="4.9989318521683403E-2"/>
      </right>
      <top style="thin">
        <color indexed="64"/>
      </top>
      <bottom style="thick">
        <color theme="1" tint="4.9989318521683403E-2"/>
      </bottom>
      <diagonal/>
    </border>
    <border>
      <left style="thin">
        <color rgb="FF3F3F3F"/>
      </left>
      <right/>
      <top style="thick">
        <color theme="1" tint="4.9989318521683403E-2"/>
      </top>
      <bottom/>
      <diagonal/>
    </border>
    <border>
      <left style="thin">
        <color rgb="FF3F3F3F"/>
      </left>
      <right/>
      <top/>
      <bottom/>
      <diagonal/>
    </border>
    <border>
      <left style="medium">
        <color indexed="64"/>
      </left>
      <right style="medium">
        <color indexed="64"/>
      </right>
      <top style="thick">
        <color theme="4" tint="0.499984740745262"/>
      </top>
      <bottom/>
      <diagonal/>
    </border>
    <border>
      <left style="medium">
        <color indexed="64"/>
      </left>
      <right style="medium">
        <color indexed="64"/>
      </right>
      <top/>
      <bottom/>
      <diagonal/>
    </border>
    <border>
      <left style="medium">
        <color indexed="64"/>
      </left>
      <right style="medium">
        <color indexed="64"/>
      </right>
      <top/>
      <bottom style="thick">
        <color theme="4" tint="0.499984740745262"/>
      </bottom>
      <diagonal/>
    </border>
    <border>
      <left style="thin">
        <color auto="1"/>
      </left>
      <right/>
      <top/>
      <bottom/>
      <diagonal/>
    </border>
    <border>
      <left/>
      <right/>
      <top style="thin">
        <color indexed="64"/>
      </top>
      <bottom/>
      <diagonal/>
    </border>
  </borders>
  <cellStyleXfs count="6">
    <xf numFmtId="0" fontId="0" fillId="0" borderId="0"/>
    <xf numFmtId="0" fontId="10" fillId="6" borderId="7" applyNumberFormat="0" applyAlignment="0" applyProtection="0"/>
    <xf numFmtId="0" fontId="13" fillId="0" borderId="12" applyNumberFormat="0" applyFill="0" applyAlignment="0" applyProtection="0"/>
    <xf numFmtId="0" fontId="14" fillId="0" borderId="13" applyNumberFormat="0" applyFill="0" applyAlignment="0" applyProtection="0"/>
    <xf numFmtId="0" fontId="24" fillId="14" borderId="23" applyNumberFormat="0" applyAlignment="0" applyProtection="0"/>
    <xf numFmtId="0" fontId="6" fillId="21" borderId="0" applyNumberFormat="0" applyBorder="0" applyAlignment="0" applyProtection="0"/>
  </cellStyleXfs>
  <cellXfs count="185">
    <xf numFmtId="0" fontId="0" fillId="0" borderId="0" xfId="0"/>
    <xf numFmtId="2" fontId="0" fillId="0" borderId="0" xfId="0" applyNumberFormat="1"/>
    <xf numFmtId="2" fontId="1" fillId="3" borderId="1" xfId="0" applyNumberFormat="1" applyFont="1" applyFill="1" applyBorder="1" applyAlignment="1">
      <alignment horizontal="center"/>
    </xf>
    <xf numFmtId="2" fontId="1" fillId="0" borderId="1" xfId="0" applyNumberFormat="1" applyFont="1" applyBorder="1" applyAlignment="1">
      <alignment horizontal="center"/>
    </xf>
    <xf numFmtId="0" fontId="1" fillId="2" borderId="1" xfId="0" applyFont="1" applyFill="1" applyBorder="1"/>
    <xf numFmtId="0" fontId="1" fillId="3" borderId="1" xfId="0" applyFont="1" applyFill="1" applyBorder="1" applyAlignment="1">
      <alignment horizontal="center"/>
    </xf>
    <xf numFmtId="0" fontId="2" fillId="3" borderId="1" xfId="0" applyFont="1" applyFill="1" applyBorder="1" applyAlignment="1">
      <alignment horizontal="center"/>
    </xf>
    <xf numFmtId="2" fontId="2" fillId="0" borderId="1" xfId="0" applyNumberFormat="1" applyFont="1" applyBorder="1" applyAlignment="1">
      <alignment horizontal="center"/>
    </xf>
    <xf numFmtId="2" fontId="2" fillId="3" borderId="1" xfId="0" applyNumberFormat="1" applyFont="1" applyFill="1" applyBorder="1" applyAlignment="1">
      <alignment horizontal="center"/>
    </xf>
    <xf numFmtId="0" fontId="3" fillId="0" borderId="0" xfId="0" applyFont="1" applyAlignment="1">
      <alignment horizontal="center" vertical="center"/>
    </xf>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0" fillId="0" borderId="3" xfId="0" applyFont="1" applyBorder="1" applyAlignment="1">
      <alignment horizontal="center" vertical="center" wrapText="1"/>
    </xf>
    <xf numFmtId="164" fontId="0" fillId="0" borderId="4" xfId="0" applyNumberFormat="1" applyFont="1" applyBorder="1" applyAlignment="1">
      <alignment horizontal="center" vertical="center" wrapText="1"/>
    </xf>
    <xf numFmtId="165" fontId="4" fillId="0" borderId="5" xfId="0" applyNumberFormat="1" applyFont="1" applyBorder="1" applyAlignment="1">
      <alignment horizontal="center" vertical="center" wrapText="1"/>
    </xf>
    <xf numFmtId="165" fontId="0" fillId="0" borderId="4" xfId="0" applyNumberFormat="1" applyFont="1" applyBorder="1" applyAlignment="1">
      <alignment horizontal="center" vertical="center" wrapText="1"/>
    </xf>
    <xf numFmtId="165" fontId="4" fillId="0" borderId="3" xfId="0" applyNumberFormat="1" applyFont="1" applyBorder="1" applyAlignment="1">
      <alignment horizontal="center" vertical="center" wrapText="1"/>
    </xf>
    <xf numFmtId="0" fontId="0" fillId="0" borderId="0" xfId="0" applyAlignment="1">
      <alignment horizontal="left" vertical="center"/>
    </xf>
    <xf numFmtId="0" fontId="0" fillId="0" borderId="0" xfId="0" applyFont="1"/>
    <xf numFmtId="0" fontId="5" fillId="2" borderId="6" xfId="0" applyFont="1" applyFill="1" applyBorder="1" applyAlignment="1">
      <alignment horizontal="center" vertical="center" wrapText="1"/>
    </xf>
    <xf numFmtId="0" fontId="0" fillId="3" borderId="6" xfId="0" applyFont="1" applyFill="1" applyBorder="1" applyAlignment="1">
      <alignment horizontal="center" vertical="center"/>
    </xf>
    <xf numFmtId="164" fontId="0" fillId="0" borderId="0" xfId="0" applyNumberFormat="1"/>
    <xf numFmtId="0" fontId="5" fillId="2" borderId="6" xfId="0" applyFont="1" applyFill="1" applyBorder="1" applyAlignment="1">
      <alignment wrapText="1"/>
    </xf>
    <xf numFmtId="0" fontId="0" fillId="0" borderId="6" xfId="0" applyFont="1" applyBorder="1" applyAlignment="1">
      <alignment horizontal="center" vertical="center"/>
    </xf>
    <xf numFmtId="0" fontId="0" fillId="0" borderId="6" xfId="0" applyBorder="1" applyAlignment="1">
      <alignment horizontal="center" vertical="center"/>
    </xf>
    <xf numFmtId="0" fontId="11" fillId="0" borderId="0" xfId="0" applyFont="1" applyAlignment="1">
      <alignment horizontal="left" vertical="center"/>
    </xf>
    <xf numFmtId="0" fontId="0" fillId="0" borderId="0" xfId="0" quotePrefix="1"/>
    <xf numFmtId="0" fontId="0" fillId="0" borderId="0" xfId="0" applyAlignment="1">
      <alignment wrapText="1"/>
    </xf>
    <xf numFmtId="0" fontId="3" fillId="0" borderId="0" xfId="0" applyFont="1"/>
    <xf numFmtId="165" fontId="0" fillId="0" borderId="0" xfId="0" applyNumberFormat="1"/>
    <xf numFmtId="0" fontId="15" fillId="0" borderId="0" xfId="0" applyFont="1"/>
    <xf numFmtId="0" fontId="12" fillId="0" borderId="0" xfId="0" applyFont="1" applyAlignment="1">
      <alignment horizontal="left" vertical="center"/>
    </xf>
    <xf numFmtId="0" fontId="17" fillId="13" borderId="6" xfId="0" applyFont="1" applyFill="1" applyBorder="1" applyAlignment="1">
      <alignment horizontal="center" vertical="center" wrapText="1"/>
    </xf>
    <xf numFmtId="0" fontId="15" fillId="10" borderId="0" xfId="0" applyFont="1" applyFill="1" applyAlignment="1">
      <alignment horizontal="left" vertical="center"/>
    </xf>
    <xf numFmtId="2" fontId="16" fillId="12" borderId="7" xfId="1" applyNumberFormat="1" applyFont="1" applyFill="1" applyAlignment="1">
      <alignment horizontal="center" vertical="center"/>
    </xf>
    <xf numFmtId="0" fontId="15" fillId="10" borderId="7" xfId="1" applyFont="1" applyFill="1"/>
    <xf numFmtId="0" fontId="15" fillId="10" borderId="7" xfId="1" applyFont="1" applyFill="1" applyAlignment="1">
      <alignment horizontal="left" vertical="center"/>
    </xf>
    <xf numFmtId="2" fontId="19" fillId="8" borderId="0" xfId="0" applyNumberFormat="1" applyFont="1" applyFill="1" applyAlignment="1">
      <alignment horizontal="right" vertical="center"/>
    </xf>
    <xf numFmtId="164" fontId="16" fillId="12" borderId="7" xfId="1" applyNumberFormat="1" applyFont="1" applyFill="1" applyAlignment="1">
      <alignment horizontal="center" vertical="center"/>
    </xf>
    <xf numFmtId="0" fontId="17" fillId="11" borderId="6" xfId="0" applyFont="1" applyFill="1" applyBorder="1" applyAlignment="1">
      <alignment horizontal="center" vertical="center" wrapText="1"/>
    </xf>
    <xf numFmtId="0" fontId="17" fillId="11" borderId="8" xfId="0" applyFont="1" applyFill="1" applyBorder="1" applyAlignment="1">
      <alignment horizontal="center" vertical="center" wrapText="1"/>
    </xf>
    <xf numFmtId="0" fontId="16" fillId="11" borderId="9" xfId="0" applyFont="1" applyFill="1" applyBorder="1" applyAlignment="1">
      <alignment horizontal="center" vertical="center" wrapText="1"/>
    </xf>
    <xf numFmtId="0" fontId="16" fillId="11" borderId="6" xfId="0" applyFont="1" applyFill="1" applyBorder="1" applyAlignment="1">
      <alignment horizontal="center" vertical="center" wrapText="1"/>
    </xf>
    <xf numFmtId="0" fontId="16" fillId="11" borderId="10" xfId="0" applyFont="1" applyFill="1" applyBorder="1" applyAlignment="1">
      <alignment horizontal="center" vertical="center" wrapText="1"/>
    </xf>
    <xf numFmtId="164" fontId="12" fillId="7" borderId="6" xfId="0" applyNumberFormat="1" applyFont="1" applyFill="1" applyBorder="1" applyAlignment="1">
      <alignment horizontal="center" vertical="center"/>
    </xf>
    <xf numFmtId="2" fontId="12" fillId="7" borderId="6" xfId="0" applyNumberFormat="1" applyFont="1" applyFill="1" applyBorder="1" applyAlignment="1">
      <alignment horizontal="center" vertical="center"/>
    </xf>
    <xf numFmtId="164" fontId="12" fillId="3" borderId="6" xfId="0" applyNumberFormat="1" applyFont="1" applyFill="1" applyBorder="1" applyAlignment="1">
      <alignment horizontal="center" vertical="center"/>
    </xf>
    <xf numFmtId="2" fontId="12" fillId="3" borderId="6" xfId="0" applyNumberFormat="1" applyFont="1" applyFill="1" applyBorder="1" applyAlignment="1">
      <alignment horizontal="center" vertical="center"/>
    </xf>
    <xf numFmtId="164" fontId="12" fillId="8" borderId="6" xfId="0" applyNumberFormat="1" applyFont="1" applyFill="1" applyBorder="1" applyAlignment="1">
      <alignment horizontal="center" vertical="center"/>
    </xf>
    <xf numFmtId="2" fontId="12" fillId="8" borderId="6" xfId="0" applyNumberFormat="1" applyFont="1" applyFill="1" applyBorder="1" applyAlignment="1">
      <alignment horizontal="center" vertical="center"/>
    </xf>
    <xf numFmtId="1" fontId="12" fillId="3" borderId="6" xfId="0" applyNumberFormat="1" applyFont="1" applyFill="1" applyBorder="1" applyAlignment="1">
      <alignment horizontal="center" vertical="center"/>
    </xf>
    <xf numFmtId="1" fontId="12" fillId="8" borderId="6" xfId="0" applyNumberFormat="1" applyFont="1" applyFill="1" applyBorder="1" applyAlignment="1">
      <alignment horizontal="center" vertical="center"/>
    </xf>
    <xf numFmtId="1" fontId="12" fillId="9" borderId="11" xfId="0" applyNumberFormat="1" applyFont="1" applyFill="1" applyBorder="1" applyAlignment="1">
      <alignment horizontal="center" vertical="center"/>
    </xf>
    <xf numFmtId="2" fontId="12" fillId="9" borderId="11" xfId="0" applyNumberFormat="1" applyFont="1" applyFill="1" applyBorder="1" applyAlignment="1">
      <alignment horizontal="center" vertical="center"/>
    </xf>
    <xf numFmtId="2" fontId="19" fillId="8" borderId="7" xfId="1" applyNumberFormat="1" applyFont="1" applyFill="1" applyBorder="1" applyAlignment="1">
      <alignment horizontal="right" vertical="center"/>
    </xf>
    <xf numFmtId="0" fontId="21" fillId="0" borderId="0" xfId="2" applyFont="1" applyBorder="1" applyAlignment="1">
      <alignment horizontal="center"/>
    </xf>
    <xf numFmtId="2" fontId="19" fillId="8" borderId="14" xfId="1" applyNumberFormat="1" applyFont="1" applyFill="1" applyBorder="1" applyAlignment="1">
      <alignment horizontal="right" vertical="center"/>
    </xf>
    <xf numFmtId="2" fontId="19" fillId="8" borderId="15" xfId="0" applyNumberFormat="1" applyFont="1" applyFill="1" applyBorder="1" applyAlignment="1">
      <alignment horizontal="right" vertical="center"/>
    </xf>
    <xf numFmtId="2" fontId="19" fillId="8" borderId="16" xfId="0" applyNumberFormat="1" applyFont="1" applyFill="1" applyBorder="1" applyAlignment="1">
      <alignment horizontal="right" vertical="center"/>
    </xf>
    <xf numFmtId="2" fontId="19" fillId="8" borderId="17" xfId="0" applyNumberFormat="1" applyFont="1" applyFill="1" applyBorder="1" applyAlignment="1">
      <alignment horizontal="right" vertical="center"/>
    </xf>
    <xf numFmtId="0" fontId="23" fillId="0" borderId="0" xfId="0" applyFont="1"/>
    <xf numFmtId="2" fontId="16" fillId="12" borderId="7" xfId="1" applyNumberFormat="1" applyFont="1" applyFill="1" applyBorder="1" applyAlignment="1">
      <alignment horizontal="center" vertical="center"/>
    </xf>
    <xf numFmtId="0" fontId="27" fillId="0" borderId="0" xfId="0" applyFont="1" applyAlignment="1">
      <alignment horizontal="left" vertical="center"/>
    </xf>
    <xf numFmtId="164" fontId="12" fillId="7" borderId="24" xfId="0" applyNumberFormat="1" applyFont="1" applyFill="1" applyBorder="1" applyAlignment="1">
      <alignment horizontal="center" vertical="center"/>
    </xf>
    <xf numFmtId="164" fontId="12" fillId="3" borderId="24" xfId="0" applyNumberFormat="1" applyFont="1" applyFill="1" applyBorder="1" applyAlignment="1">
      <alignment horizontal="center" vertical="center"/>
    </xf>
    <xf numFmtId="164" fontId="12" fillId="8" borderId="24" xfId="0" applyNumberFormat="1" applyFont="1" applyFill="1" applyBorder="1" applyAlignment="1">
      <alignment horizontal="center" vertical="center"/>
    </xf>
    <xf numFmtId="1" fontId="12" fillId="3" borderId="24" xfId="0" applyNumberFormat="1" applyFont="1" applyFill="1" applyBorder="1" applyAlignment="1">
      <alignment horizontal="center" vertical="center"/>
    </xf>
    <xf numFmtId="1" fontId="12" fillId="8" borderId="24" xfId="0" applyNumberFormat="1" applyFont="1" applyFill="1" applyBorder="1" applyAlignment="1">
      <alignment horizontal="center" vertical="center"/>
    </xf>
    <xf numFmtId="1" fontId="12" fillId="9" borderId="25" xfId="0" applyNumberFormat="1" applyFont="1" applyFill="1" applyBorder="1" applyAlignment="1">
      <alignment horizontal="center" vertical="center"/>
    </xf>
    <xf numFmtId="0" fontId="6" fillId="2" borderId="6" xfId="0" applyFont="1" applyFill="1" applyBorder="1" applyAlignment="1">
      <alignment horizontal="center" vertical="center" wrapText="1"/>
    </xf>
    <xf numFmtId="164" fontId="12" fillId="7" borderId="0" xfId="0" applyNumberFormat="1" applyFont="1" applyFill="1" applyBorder="1" applyAlignment="1">
      <alignment horizontal="center" vertical="center"/>
    </xf>
    <xf numFmtId="164" fontId="12" fillId="3" borderId="0" xfId="0" applyNumberFormat="1" applyFont="1" applyFill="1" applyBorder="1" applyAlignment="1">
      <alignment horizontal="center" vertical="center"/>
    </xf>
    <xf numFmtId="164" fontId="12" fillId="8" borderId="0" xfId="0" applyNumberFormat="1" applyFont="1" applyFill="1" applyBorder="1" applyAlignment="1">
      <alignment horizontal="center" vertical="center"/>
    </xf>
    <xf numFmtId="0" fontId="16" fillId="11" borderId="8" xfId="0" applyFont="1" applyFill="1" applyBorder="1" applyAlignment="1">
      <alignment horizontal="center" vertical="center" wrapText="1"/>
    </xf>
    <xf numFmtId="164" fontId="12" fillId="9" borderId="0" xfId="0" applyNumberFormat="1" applyFont="1" applyFill="1" applyBorder="1" applyAlignment="1">
      <alignment horizontal="center" vertical="center"/>
    </xf>
    <xf numFmtId="164" fontId="12" fillId="7" borderId="35" xfId="0" applyNumberFormat="1" applyFont="1" applyFill="1" applyBorder="1" applyAlignment="1">
      <alignment horizontal="center" vertical="center"/>
    </xf>
    <xf numFmtId="0" fontId="17" fillId="11" borderId="34" xfId="0" applyFont="1" applyFill="1" applyBorder="1" applyAlignment="1">
      <alignment horizontal="center" vertical="center" wrapText="1"/>
    </xf>
    <xf numFmtId="0" fontId="17" fillId="11" borderId="33" xfId="0" applyFont="1" applyFill="1" applyBorder="1" applyAlignment="1">
      <alignment horizontal="center" vertical="center" wrapText="1"/>
    </xf>
    <xf numFmtId="2" fontId="15" fillId="7" borderId="24" xfId="0" applyNumberFormat="1" applyFont="1" applyFill="1" applyBorder="1" applyAlignment="1">
      <alignment horizontal="center" vertical="center"/>
    </xf>
    <xf numFmtId="2" fontId="15" fillId="8" borderId="24" xfId="0" applyNumberFormat="1" applyFont="1" applyFill="1" applyBorder="1" applyAlignment="1">
      <alignment horizontal="center" vertical="center"/>
    </xf>
    <xf numFmtId="164" fontId="15" fillId="7" borderId="24" xfId="0" applyNumberFormat="1" applyFont="1" applyFill="1" applyBorder="1" applyAlignment="1">
      <alignment horizontal="center" vertical="center"/>
    </xf>
    <xf numFmtId="2" fontId="15" fillId="7" borderId="36" xfId="0" applyNumberFormat="1" applyFont="1" applyFill="1" applyBorder="1" applyAlignment="1">
      <alignment horizontal="center" vertical="center"/>
    </xf>
    <xf numFmtId="164" fontId="15" fillId="8" borderId="24" xfId="0" applyNumberFormat="1" applyFont="1" applyFill="1" applyBorder="1" applyAlignment="1">
      <alignment horizontal="center" vertical="center"/>
    </xf>
    <xf numFmtId="2" fontId="15" fillId="8" borderId="36" xfId="0" applyNumberFormat="1" applyFont="1" applyFill="1" applyBorder="1" applyAlignment="1">
      <alignment horizontal="center" vertical="center"/>
    </xf>
    <xf numFmtId="1" fontId="15" fillId="8" borderId="24" xfId="0" applyNumberFormat="1" applyFont="1" applyFill="1" applyBorder="1" applyAlignment="1">
      <alignment horizontal="center" vertical="center"/>
    </xf>
    <xf numFmtId="2" fontId="31" fillId="7" borderId="44" xfId="0" applyNumberFormat="1" applyFont="1" applyFill="1" applyBorder="1" applyAlignment="1">
      <alignment horizontal="center" vertical="center"/>
    </xf>
    <xf numFmtId="2" fontId="31" fillId="7" borderId="45" xfId="0" applyNumberFormat="1" applyFont="1" applyFill="1" applyBorder="1" applyAlignment="1">
      <alignment horizontal="center" vertical="center"/>
    </xf>
    <xf numFmtId="2" fontId="31" fillId="8" borderId="44" xfId="0" applyNumberFormat="1" applyFont="1" applyFill="1" applyBorder="1" applyAlignment="1">
      <alignment horizontal="center" vertical="center"/>
    </xf>
    <xf numFmtId="2" fontId="31" fillId="8" borderId="45" xfId="0" applyNumberFormat="1" applyFont="1" applyFill="1" applyBorder="1" applyAlignment="1">
      <alignment horizontal="center" vertical="center"/>
    </xf>
    <xf numFmtId="0" fontId="20" fillId="0" borderId="0" xfId="0" applyFont="1"/>
    <xf numFmtId="0" fontId="27" fillId="0" borderId="0" xfId="0" applyFont="1"/>
    <xf numFmtId="0" fontId="35" fillId="0" borderId="0" xfId="0" applyFont="1"/>
    <xf numFmtId="164" fontId="15" fillId="19" borderId="24" xfId="0" applyNumberFormat="1" applyFont="1" applyFill="1" applyBorder="1" applyAlignment="1">
      <alignment horizontal="center" vertical="center"/>
    </xf>
    <xf numFmtId="2" fontId="15" fillId="19" borderId="24" xfId="0" applyNumberFormat="1" applyFont="1" applyFill="1" applyBorder="1" applyAlignment="1">
      <alignment horizontal="center" vertical="center"/>
    </xf>
    <xf numFmtId="2" fontId="15" fillId="19" borderId="36" xfId="0" applyNumberFormat="1" applyFont="1" applyFill="1" applyBorder="1" applyAlignment="1">
      <alignment horizontal="center" vertical="center"/>
    </xf>
    <xf numFmtId="2" fontId="31" fillId="19" borderId="44" xfId="0" applyNumberFormat="1" applyFont="1" applyFill="1" applyBorder="1" applyAlignment="1">
      <alignment horizontal="center" vertical="center"/>
    </xf>
    <xf numFmtId="2" fontId="31" fillId="19" borderId="45" xfId="0" applyNumberFormat="1" applyFont="1" applyFill="1" applyBorder="1" applyAlignment="1">
      <alignment horizontal="center" vertical="center"/>
    </xf>
    <xf numFmtId="1" fontId="15" fillId="20" borderId="24" xfId="0" applyNumberFormat="1" applyFont="1" applyFill="1" applyBorder="1" applyAlignment="1">
      <alignment horizontal="center" vertical="center"/>
    </xf>
    <xf numFmtId="2" fontId="15" fillId="20" borderId="24" xfId="0" applyNumberFormat="1" applyFont="1" applyFill="1" applyBorder="1" applyAlignment="1">
      <alignment horizontal="center" vertical="center"/>
    </xf>
    <xf numFmtId="2" fontId="15" fillId="20" borderId="36" xfId="0" applyNumberFormat="1" applyFont="1" applyFill="1" applyBorder="1" applyAlignment="1">
      <alignment horizontal="center" vertical="center"/>
    </xf>
    <xf numFmtId="2" fontId="31" fillId="20" borderId="44" xfId="0" applyNumberFormat="1" applyFont="1" applyFill="1" applyBorder="1" applyAlignment="1">
      <alignment horizontal="center" vertical="center"/>
    </xf>
    <xf numFmtId="2" fontId="31" fillId="20" borderId="45" xfId="0" applyNumberFormat="1" applyFont="1" applyFill="1" applyBorder="1" applyAlignment="1">
      <alignment horizontal="center" vertical="center"/>
    </xf>
    <xf numFmtId="1" fontId="15" fillId="20" borderId="25" xfId="0" applyNumberFormat="1" applyFont="1" applyFill="1" applyBorder="1" applyAlignment="1">
      <alignment horizontal="center" vertical="center"/>
    </xf>
    <xf numFmtId="2" fontId="15" fillId="20" borderId="25" xfId="0" applyNumberFormat="1" applyFont="1" applyFill="1" applyBorder="1" applyAlignment="1">
      <alignment horizontal="center" vertical="center"/>
    </xf>
    <xf numFmtId="2" fontId="15" fillId="20" borderId="37" xfId="0" applyNumberFormat="1" applyFont="1" applyFill="1" applyBorder="1" applyAlignment="1">
      <alignment horizontal="center" vertical="center"/>
    </xf>
    <xf numFmtId="2" fontId="31" fillId="20" borderId="46" xfId="0" applyNumberFormat="1" applyFont="1" applyFill="1" applyBorder="1" applyAlignment="1">
      <alignment horizontal="center" vertical="center"/>
    </xf>
    <xf numFmtId="2" fontId="31" fillId="20" borderId="47" xfId="0" applyNumberFormat="1" applyFont="1" applyFill="1" applyBorder="1" applyAlignment="1">
      <alignment horizontal="center" vertical="center"/>
    </xf>
    <xf numFmtId="164" fontId="15" fillId="20" borderId="24" xfId="0" applyNumberFormat="1" applyFont="1" applyFill="1" applyBorder="1" applyAlignment="1">
      <alignment horizontal="center" vertical="center"/>
    </xf>
    <xf numFmtId="1" fontId="15" fillId="19" borderId="24" xfId="0" applyNumberFormat="1" applyFont="1" applyFill="1" applyBorder="1" applyAlignment="1">
      <alignment horizontal="center" vertical="center"/>
    </xf>
    <xf numFmtId="1" fontId="15" fillId="19" borderId="25" xfId="0" applyNumberFormat="1" applyFont="1" applyFill="1" applyBorder="1" applyAlignment="1">
      <alignment horizontal="center" vertical="center"/>
    </xf>
    <xf numFmtId="2" fontId="15" fillId="19" borderId="25" xfId="0" applyNumberFormat="1" applyFont="1" applyFill="1" applyBorder="1" applyAlignment="1">
      <alignment horizontal="center" vertical="center"/>
    </xf>
    <xf numFmtId="0" fontId="36" fillId="17" borderId="0" xfId="3" applyFont="1" applyFill="1" applyBorder="1" applyAlignment="1">
      <alignment vertical="center"/>
    </xf>
    <xf numFmtId="0" fontId="36" fillId="17" borderId="13" xfId="3" applyFont="1" applyFill="1" applyBorder="1" applyAlignment="1">
      <alignment vertical="center"/>
    </xf>
    <xf numFmtId="0" fontId="17" fillId="11" borderId="53" xfId="0" applyFont="1" applyFill="1" applyBorder="1" applyAlignment="1">
      <alignment horizontal="center" vertical="center" wrapText="1"/>
    </xf>
    <xf numFmtId="11" fontId="0" fillId="0" borderId="0" xfId="0" applyNumberFormat="1"/>
    <xf numFmtId="0" fontId="3" fillId="4" borderId="2" xfId="0" applyFont="1" applyFill="1" applyBorder="1" applyAlignment="1">
      <alignment horizontal="center" vertical="center" wrapText="1"/>
    </xf>
    <xf numFmtId="0" fontId="3" fillId="4" borderId="3" xfId="0" applyFont="1" applyFill="1" applyBorder="1" applyAlignment="1">
      <alignment horizontal="center" vertical="center" wrapText="1"/>
    </xf>
    <xf numFmtId="0" fontId="28" fillId="16" borderId="27" xfId="3" applyFont="1" applyFill="1" applyBorder="1" applyAlignment="1">
      <alignment horizontal="center" vertical="center"/>
    </xf>
    <xf numFmtId="0" fontId="28" fillId="16" borderId="32" xfId="3" applyFont="1" applyFill="1" applyBorder="1" applyAlignment="1">
      <alignment horizontal="center" vertical="center"/>
    </xf>
    <xf numFmtId="0" fontId="28" fillId="16" borderId="13" xfId="3" applyFont="1" applyFill="1" applyBorder="1" applyAlignment="1">
      <alignment horizontal="center" vertical="center"/>
    </xf>
    <xf numFmtId="0" fontId="28" fillId="16" borderId="31" xfId="3" applyFont="1" applyFill="1" applyBorder="1" applyAlignment="1">
      <alignment horizontal="center" vertical="center"/>
    </xf>
    <xf numFmtId="164" fontId="31" fillId="14" borderId="28" xfId="4" applyNumberFormat="1" applyFont="1" applyBorder="1" applyAlignment="1">
      <alignment horizontal="center" vertical="center"/>
    </xf>
    <xf numFmtId="164" fontId="31" fillId="14" borderId="29" xfId="4" applyNumberFormat="1" applyFont="1" applyBorder="1" applyAlignment="1">
      <alignment horizontal="center" vertical="center"/>
    </xf>
    <xf numFmtId="0" fontId="12" fillId="0" borderId="48" xfId="0" applyFont="1" applyBorder="1" applyAlignment="1">
      <alignment horizontal="center" vertical="center"/>
    </xf>
    <xf numFmtId="0" fontId="12" fillId="0" borderId="49" xfId="0" applyFont="1" applyBorder="1" applyAlignment="1">
      <alignment horizontal="center" vertical="center"/>
    </xf>
    <xf numFmtId="0" fontId="42" fillId="22" borderId="13" xfId="3" applyFont="1" applyFill="1" applyAlignment="1">
      <alignment horizontal="left" vertical="center"/>
    </xf>
    <xf numFmtId="2" fontId="17" fillId="8" borderId="0" xfId="5" applyNumberFormat="1" applyFont="1" applyFill="1" applyBorder="1" applyAlignment="1" applyProtection="1">
      <alignment horizontal="center" vertical="center"/>
      <protection locked="0"/>
    </xf>
    <xf numFmtId="165" fontId="31" fillId="14" borderId="28" xfId="4" applyNumberFormat="1" applyFont="1" applyBorder="1" applyAlignment="1">
      <alignment horizontal="center" vertical="center"/>
    </xf>
    <xf numFmtId="165" fontId="31" fillId="14" borderId="29" xfId="4" applyNumberFormat="1" applyFont="1" applyBorder="1" applyAlignment="1">
      <alignment horizontal="center" vertical="center"/>
    </xf>
    <xf numFmtId="0" fontId="36" fillId="18" borderId="0" xfId="3" applyFont="1" applyFill="1" applyBorder="1" applyAlignment="1">
      <alignment horizontal="left" vertical="center" wrapText="1"/>
    </xf>
    <xf numFmtId="0" fontId="33" fillId="16" borderId="50" xfId="3" applyFont="1" applyFill="1" applyBorder="1" applyAlignment="1">
      <alignment horizontal="center" vertical="center" wrapText="1"/>
    </xf>
    <xf numFmtId="0" fontId="33" fillId="16" borderId="51" xfId="3" applyFont="1" applyFill="1" applyBorder="1" applyAlignment="1">
      <alignment horizontal="center" vertical="center" wrapText="1"/>
    </xf>
    <xf numFmtId="0" fontId="33" fillId="16" borderId="52" xfId="3" applyFont="1" applyFill="1" applyBorder="1" applyAlignment="1">
      <alignment horizontal="center" vertical="center" wrapText="1"/>
    </xf>
    <xf numFmtId="0" fontId="28" fillId="16" borderId="39" xfId="3" applyFont="1" applyFill="1" applyBorder="1" applyAlignment="1">
      <alignment horizontal="center" vertical="center" wrapText="1"/>
    </xf>
    <xf numFmtId="0" fontId="28" fillId="16" borderId="41" xfId="3" applyFont="1" applyFill="1" applyBorder="1" applyAlignment="1">
      <alignment horizontal="center" vertical="center"/>
    </xf>
    <xf numFmtId="0" fontId="28" fillId="16" borderId="43" xfId="3" applyFont="1" applyFill="1" applyBorder="1" applyAlignment="1">
      <alignment horizontal="center" vertical="center"/>
    </xf>
    <xf numFmtId="0" fontId="36" fillId="17" borderId="0" xfId="3" applyFont="1" applyFill="1" applyBorder="1" applyAlignment="1">
      <alignment horizontal="center" vertical="center"/>
    </xf>
    <xf numFmtId="0" fontId="28" fillId="16" borderId="38" xfId="3" applyFont="1" applyFill="1" applyBorder="1" applyAlignment="1">
      <alignment horizontal="center" vertical="center" wrapText="1"/>
    </xf>
    <xf numFmtId="0" fontId="28" fillId="16" borderId="40" xfId="3" applyFont="1" applyFill="1" applyBorder="1" applyAlignment="1">
      <alignment horizontal="center" vertical="center"/>
    </xf>
    <xf numFmtId="0" fontId="28" fillId="16" borderId="42" xfId="3" applyFont="1" applyFill="1" applyBorder="1" applyAlignment="1">
      <alignment horizontal="center" vertical="center"/>
    </xf>
    <xf numFmtId="0" fontId="33" fillId="16" borderId="30" xfId="3" applyFont="1" applyFill="1" applyBorder="1" applyAlignment="1">
      <alignment horizontal="center" vertical="center" wrapText="1"/>
    </xf>
    <xf numFmtId="0" fontId="33" fillId="16" borderId="30" xfId="3" applyFont="1" applyFill="1" applyBorder="1" applyAlignment="1">
      <alignment horizontal="center" vertical="center"/>
    </xf>
    <xf numFmtId="0" fontId="33" fillId="16" borderId="31" xfId="3" applyFont="1" applyFill="1" applyBorder="1" applyAlignment="1">
      <alignment horizontal="center" vertical="center"/>
    </xf>
    <xf numFmtId="0" fontId="33" fillId="16" borderId="0" xfId="3" applyFont="1" applyFill="1" applyBorder="1" applyAlignment="1">
      <alignment horizontal="center" vertical="center" wrapText="1"/>
    </xf>
    <xf numFmtId="0" fontId="33" fillId="16" borderId="0" xfId="3" applyFont="1" applyFill="1" applyBorder="1" applyAlignment="1">
      <alignment horizontal="center" vertical="center"/>
    </xf>
    <xf numFmtId="0" fontId="33" fillId="16" borderId="13" xfId="3" applyFont="1" applyFill="1" applyBorder="1" applyAlignment="1">
      <alignment horizontal="center" vertical="center"/>
    </xf>
    <xf numFmtId="0" fontId="28" fillId="17" borderId="0" xfId="3" applyFont="1" applyFill="1" applyBorder="1" applyAlignment="1">
      <alignment horizontal="center" vertical="center"/>
    </xf>
    <xf numFmtId="0" fontId="28" fillId="17" borderId="13" xfId="3" applyFont="1" applyFill="1" applyBorder="1" applyAlignment="1">
      <alignment horizontal="center" vertical="center"/>
    </xf>
    <xf numFmtId="0" fontId="20" fillId="0" borderId="0" xfId="0" applyFont="1" applyAlignment="1">
      <alignment horizontal="center"/>
    </xf>
    <xf numFmtId="0" fontId="33" fillId="16" borderId="54" xfId="3" applyFont="1" applyFill="1" applyBorder="1" applyAlignment="1">
      <alignment horizontal="center" vertical="center" wrapText="1"/>
    </xf>
    <xf numFmtId="0" fontId="33" fillId="16" borderId="26" xfId="3" applyFont="1" applyFill="1" applyBorder="1" applyAlignment="1">
      <alignment horizontal="center" vertical="center" wrapText="1"/>
    </xf>
    <xf numFmtId="2" fontId="40" fillId="14" borderId="28" xfId="4" applyNumberFormat="1" applyFont="1" applyBorder="1" applyAlignment="1">
      <alignment horizontal="center" vertical="center"/>
    </xf>
    <xf numFmtId="2" fontId="40" fillId="14" borderId="29" xfId="4" applyNumberFormat="1" applyFont="1" applyBorder="1" applyAlignment="1">
      <alignment horizontal="center" vertical="center"/>
    </xf>
    <xf numFmtId="0" fontId="36" fillId="18" borderId="0" xfId="3" applyFont="1" applyFill="1" applyBorder="1" applyAlignment="1">
      <alignment horizontal="center" vertical="center"/>
    </xf>
    <xf numFmtId="0" fontId="28" fillId="18" borderId="0" xfId="3" applyFont="1" applyFill="1" applyBorder="1" applyAlignment="1">
      <alignment horizontal="center" vertical="center"/>
    </xf>
    <xf numFmtId="0" fontId="28" fillId="18" borderId="13" xfId="3" applyFont="1" applyFill="1" applyBorder="1" applyAlignment="1">
      <alignment horizontal="center" vertical="center"/>
    </xf>
    <xf numFmtId="0" fontId="33" fillId="5" borderId="21" xfId="1" applyFont="1" applyFill="1" applyBorder="1" applyAlignment="1" applyProtection="1">
      <alignment horizontal="center" vertical="center"/>
      <protection locked="0"/>
    </xf>
    <xf numFmtId="0" fontId="33" fillId="5" borderId="22" xfId="1" applyFont="1" applyFill="1" applyBorder="1" applyAlignment="1" applyProtection="1">
      <alignment horizontal="center" vertical="center"/>
      <protection locked="0"/>
    </xf>
    <xf numFmtId="2" fontId="28" fillId="5" borderId="21" xfId="1" applyNumberFormat="1" applyFont="1" applyFill="1" applyBorder="1" applyAlignment="1" applyProtection="1">
      <alignment horizontal="center" vertical="center"/>
      <protection locked="0"/>
    </xf>
    <xf numFmtId="2" fontId="28" fillId="5" borderId="22" xfId="1" applyNumberFormat="1" applyFont="1" applyFill="1" applyBorder="1" applyAlignment="1" applyProtection="1">
      <alignment horizontal="center" vertical="center"/>
      <protection locked="0"/>
    </xf>
    <xf numFmtId="0" fontId="25" fillId="0" borderId="13" xfId="3" applyFont="1" applyAlignment="1">
      <alignment horizontal="left" vertical="center"/>
    </xf>
    <xf numFmtId="0" fontId="25" fillId="0" borderId="0" xfId="3" applyFont="1" applyBorder="1" applyAlignment="1">
      <alignment horizontal="left" vertical="center"/>
    </xf>
    <xf numFmtId="0" fontId="30" fillId="15" borderId="0" xfId="0" applyFont="1" applyFill="1" applyAlignment="1">
      <alignment horizontal="left" vertical="center"/>
    </xf>
    <xf numFmtId="0" fontId="12" fillId="15" borderId="0" xfId="0" applyFont="1" applyFill="1" applyAlignment="1">
      <alignment horizontal="left" vertical="center"/>
    </xf>
    <xf numFmtId="0" fontId="12" fillId="0" borderId="0" xfId="0" applyFont="1" applyAlignment="1">
      <alignment horizontal="center" vertical="center"/>
    </xf>
    <xf numFmtId="0" fontId="25" fillId="0" borderId="13" xfId="3" applyFont="1" applyAlignment="1">
      <alignment horizontal="center" vertical="center"/>
    </xf>
    <xf numFmtId="164" fontId="33" fillId="5" borderId="0" xfId="1" applyNumberFormat="1" applyFont="1" applyFill="1" applyBorder="1" applyAlignment="1" applyProtection="1">
      <alignment horizontal="center" vertical="center"/>
      <protection locked="0"/>
    </xf>
    <xf numFmtId="164" fontId="33" fillId="5" borderId="20" xfId="1" applyNumberFormat="1" applyFont="1" applyFill="1" applyBorder="1" applyAlignment="1" applyProtection="1">
      <alignment horizontal="center" vertical="center"/>
      <protection locked="0"/>
    </xf>
    <xf numFmtId="0" fontId="29" fillId="0" borderId="8" xfId="2" applyFont="1" applyBorder="1" applyAlignment="1">
      <alignment horizontal="center"/>
    </xf>
    <xf numFmtId="0" fontId="29" fillId="0" borderId="18" xfId="2" applyFont="1" applyBorder="1" applyAlignment="1">
      <alignment horizontal="center"/>
    </xf>
    <xf numFmtId="0" fontId="29" fillId="0" borderId="19" xfId="2" applyFont="1" applyBorder="1" applyAlignment="1">
      <alignment horizontal="center"/>
    </xf>
    <xf numFmtId="0" fontId="25" fillId="0" borderId="0" xfId="3" applyFont="1" applyBorder="1" applyAlignment="1">
      <alignment horizontal="center" vertical="center"/>
    </xf>
    <xf numFmtId="165" fontId="33" fillId="5" borderId="0" xfId="1" applyNumberFormat="1" applyFont="1" applyFill="1" applyBorder="1" applyAlignment="1" applyProtection="1">
      <alignment horizontal="center" vertical="center"/>
      <protection locked="0"/>
    </xf>
    <xf numFmtId="165" fontId="33" fillId="5" borderId="20" xfId="1" applyNumberFormat="1" applyFont="1" applyFill="1" applyBorder="1" applyAlignment="1" applyProtection="1">
      <alignment horizontal="center" vertical="center"/>
      <protection locked="0"/>
    </xf>
    <xf numFmtId="0" fontId="43" fillId="0" borderId="13" xfId="3" applyFont="1" applyAlignment="1">
      <alignment horizontal="center" vertical="center" wrapText="1"/>
    </xf>
    <xf numFmtId="0" fontId="43" fillId="0" borderId="13" xfId="3" applyFont="1" applyAlignment="1">
      <alignment horizontal="center" vertical="center"/>
    </xf>
    <xf numFmtId="2" fontId="33" fillId="5" borderId="0" xfId="1" applyNumberFormat="1" applyFont="1" applyFill="1" applyBorder="1" applyAlignment="1" applyProtection="1">
      <alignment horizontal="center" vertical="center"/>
      <protection locked="0"/>
    </xf>
    <xf numFmtId="2" fontId="33" fillId="5" borderId="20" xfId="1" applyNumberFormat="1" applyFont="1" applyFill="1" applyBorder="1" applyAlignment="1" applyProtection="1">
      <alignment horizontal="center" vertical="center"/>
      <protection locked="0"/>
    </xf>
    <xf numFmtId="0" fontId="22" fillId="0" borderId="0" xfId="0" applyFont="1" applyAlignment="1">
      <alignment horizontal="center" vertical="center"/>
    </xf>
    <xf numFmtId="0" fontId="36" fillId="17" borderId="13" xfId="3" applyFont="1" applyFill="1" applyBorder="1" applyAlignment="1">
      <alignment horizontal="center" vertical="center"/>
    </xf>
    <xf numFmtId="0" fontId="46" fillId="0" borderId="0" xfId="0" applyFont="1" applyAlignment="1">
      <alignment horizontal="left" vertical="top" wrapText="1"/>
    </xf>
    <xf numFmtId="164" fontId="17" fillId="8" borderId="0" xfId="5" applyNumberFormat="1" applyFont="1" applyFill="1" applyBorder="1" applyAlignment="1" applyProtection="1">
      <alignment horizontal="center" vertical="center"/>
      <protection locked="0"/>
    </xf>
    <xf numFmtId="0" fontId="0" fillId="0" borderId="0" xfId="0" applyAlignment="1">
      <alignment horizontal="center" vertical="center" wrapText="1"/>
    </xf>
    <xf numFmtId="0" fontId="0" fillId="0" borderId="26" xfId="0" applyBorder="1" applyAlignment="1">
      <alignment horizontal="center" vertical="center" wrapText="1"/>
    </xf>
    <xf numFmtId="2" fontId="17" fillId="8" borderId="0" xfId="5" applyNumberFormat="1" applyFont="1" applyFill="1" applyBorder="1" applyAlignment="1" applyProtection="1">
      <alignment horizontal="center" vertical="center"/>
    </xf>
  </cellXfs>
  <cellStyles count="6">
    <cellStyle name="Accent1" xfId="5" builtinId="29"/>
    <cellStyle name="Heading 1" xfId="2" builtinId="16"/>
    <cellStyle name="Heading 2" xfId="3" builtinId="17"/>
    <cellStyle name="Input" xfId="1" builtinId="20"/>
    <cellStyle name="Normal" xfId="0" builtinId="0"/>
    <cellStyle name="Output" xfId="4" builtinId="21"/>
  </cellStyles>
  <dxfs count="26">
    <dxf>
      <font>
        <b val="0"/>
        <i val="0"/>
        <strike val="0"/>
        <condense val="0"/>
        <extend val="0"/>
        <outline val="0"/>
        <shadow val="0"/>
        <u val="none"/>
        <vertAlign val="baseline"/>
        <sz val="14"/>
        <color theme="0"/>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dxf>
    <dxf>
      <numFmt numFmtId="164" formatCode="0.000"/>
    </dxf>
    <dxf>
      <numFmt numFmtId="164" formatCode="0.000"/>
    </dxf>
    <dxf>
      <font>
        <b/>
        <i val="0"/>
        <strike val="0"/>
        <condense val="0"/>
        <extend val="0"/>
        <outline val="0"/>
        <shadow val="0"/>
        <u val="none"/>
        <vertAlign val="baseline"/>
        <sz val="14"/>
        <color theme="1"/>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style="thin">
          <color rgb="FF7F7F7F"/>
        </left>
        <right style="double">
          <color indexed="64"/>
        </right>
        <top style="thin">
          <color indexed="64"/>
        </top>
        <bottom style="thin">
          <color indexed="64"/>
        </bottom>
      </border>
    </dxf>
    <dxf>
      <font>
        <b/>
        <strike val="0"/>
        <outline val="0"/>
        <shadow val="0"/>
        <u val="none"/>
        <vertAlign val="baseline"/>
        <sz val="14"/>
        <color theme="1"/>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style="thin">
          <color rgb="FF7F7F7F"/>
        </left>
        <right style="thin">
          <color rgb="FF7F7F7F"/>
        </right>
        <top style="thin">
          <color indexed="64"/>
        </top>
        <bottom style="thin">
          <color indexed="64"/>
        </bottom>
      </border>
    </dxf>
    <dxf>
      <font>
        <b/>
        <strike val="0"/>
        <outline val="0"/>
        <shadow val="0"/>
        <u val="none"/>
        <vertAlign val="baseline"/>
        <sz val="14"/>
        <color theme="1"/>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style="double">
          <color indexed="64"/>
        </left>
        <right style="thin">
          <color rgb="FF7F7F7F"/>
        </right>
        <top style="thin">
          <color indexed="64"/>
        </top>
        <bottom style="thin">
          <color indexed="64"/>
        </bottom>
      </border>
    </dxf>
    <dxf>
      <font>
        <strike val="0"/>
        <outline val="0"/>
        <shadow val="0"/>
        <u val="none"/>
        <sz val="14"/>
        <color theme="0"/>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style="thin">
          <color indexed="64"/>
        </left>
        <right style="thin">
          <color rgb="FF7F7F7F"/>
        </right>
        <top style="thin">
          <color indexed="64"/>
        </top>
        <bottom style="thin">
          <color indexed="64"/>
        </bottom>
      </border>
    </dxf>
    <dxf>
      <font>
        <strike val="0"/>
        <outline val="0"/>
        <shadow val="0"/>
        <u val="none"/>
        <sz val="14"/>
        <color theme="0"/>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style="thin">
          <color indexed="64"/>
        </left>
        <right style="thin">
          <color indexed="64"/>
        </right>
        <top style="thin">
          <color indexed="64"/>
        </top>
        <bottom style="thin">
          <color indexed="64"/>
        </bottom>
      </border>
    </dxf>
    <dxf>
      <font>
        <strike val="0"/>
        <outline val="0"/>
        <shadow val="0"/>
        <u val="none"/>
        <sz val="14"/>
        <color theme="0"/>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left/>
        <right style="thin">
          <color indexed="64"/>
        </right>
        <top style="thin">
          <color indexed="64"/>
        </top>
        <bottom style="thin">
          <color indexed="64"/>
        </bottom>
      </border>
    </dxf>
    <dxf>
      <numFmt numFmtId="164" formatCode="0.000"/>
    </dxf>
    <dxf>
      <numFmt numFmtId="164" formatCode="0.000"/>
    </dxf>
    <dxf>
      <font>
        <b/>
        <strike val="0"/>
        <outline val="0"/>
        <shadow val="0"/>
        <u val="none"/>
        <vertAlign val="baseline"/>
        <sz val="14"/>
        <color theme="1"/>
        <name val="Calibri"/>
        <family val="2"/>
        <scheme val="minor"/>
      </font>
      <numFmt numFmtId="2" formatCode="0.00"/>
      <fill>
        <patternFill patternType="solid">
          <fgColor indexed="64"/>
          <bgColor theme="4" tint="0.59999389629810485"/>
        </patternFill>
      </fill>
      <alignment horizontal="center" vertical="center" textRotation="0" wrapText="0" indent="0" justifyLastLine="0" shrinkToFit="0" readingOrder="0"/>
      <border diagonalUp="0" diagonalDown="0" outline="0">
        <left/>
        <right style="thin">
          <color indexed="64"/>
        </right>
        <top style="thin">
          <color indexed="64"/>
        </top>
        <bottom style="thin">
          <color indexed="64"/>
        </bottom>
      </border>
    </dxf>
    <dxf>
      <border outline="0">
        <top style="thin">
          <color rgb="FF8EA9DB"/>
        </top>
      </border>
    </dxf>
    <dxf>
      <border outline="0">
        <left style="thin">
          <color rgb="FF8EA9DB"/>
        </left>
        <top style="thin">
          <color rgb="FF8EA9DB"/>
        </top>
        <bottom style="thin">
          <color rgb="FF8EA9DB"/>
        </bottom>
      </border>
    </dxf>
    <dxf>
      <border outline="0">
        <bottom style="thin">
          <color rgb="FF8EA9DB"/>
        </bottom>
      </border>
    </dxf>
    <dxf>
      <font>
        <b/>
        <i val="0"/>
        <strike val="0"/>
        <condense val="0"/>
        <extend val="0"/>
        <outline val="0"/>
        <shadow val="0"/>
        <u val="none"/>
        <vertAlign val="baseline"/>
        <sz val="14"/>
        <color theme="0"/>
        <name val="Calibri"/>
        <family val="2"/>
        <scheme val="minor"/>
      </font>
      <fill>
        <patternFill patternType="solid">
          <fgColor indexed="64"/>
          <bgColor rgb="FF00B050"/>
        </patternFill>
      </fill>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b val="0"/>
        <i val="0"/>
        <strike val="0"/>
        <condense val="0"/>
        <extend val="0"/>
        <outline val="0"/>
        <shadow val="0"/>
        <u val="none"/>
        <vertAlign val="baseline"/>
        <sz val="11"/>
        <color theme="1"/>
        <name val="Calibri"/>
        <family val="2"/>
        <scheme val="minor"/>
      </font>
    </dxf>
    <dxf>
      <font>
        <color theme="1"/>
      </font>
      <fill>
        <patternFill>
          <bgColor theme="0"/>
        </patternFill>
      </fill>
      <border>
        <left/>
        <right/>
        <top/>
        <bottom/>
      </border>
    </dxf>
    <dxf>
      <font>
        <color theme="1"/>
      </font>
      <fill>
        <patternFill>
          <bgColor theme="0"/>
        </patternFill>
      </fill>
      <border>
        <left/>
        <right/>
        <top/>
        <bottom/>
      </border>
    </dxf>
    <dxf>
      <font>
        <color theme="1"/>
      </font>
      <fill>
        <patternFill>
          <bgColor theme="0"/>
        </patternFill>
      </fill>
      <border>
        <left/>
        <right/>
        <top/>
        <bottom/>
      </border>
    </dxf>
    <dxf>
      <font>
        <color theme="1"/>
      </font>
      <fill>
        <patternFill>
          <bgColor theme="0"/>
        </patternFill>
      </fill>
      <border>
        <left/>
        <right/>
        <top/>
        <bottom/>
      </border>
    </dxf>
    <dxf>
      <font>
        <color theme="0"/>
      </font>
      <fill>
        <patternFill>
          <bgColor theme="4"/>
        </patternFill>
      </fill>
      <border>
        <left/>
        <right/>
        <top/>
        <bottom/>
      </border>
    </dxf>
    <dxf>
      <font>
        <color theme="0"/>
      </font>
      <fill>
        <patternFill>
          <bgColor theme="4"/>
        </patternFill>
      </fill>
      <border>
        <left/>
        <right/>
        <top/>
        <bottom/>
      </border>
    </dxf>
    <dxf>
      <font>
        <color theme="0"/>
      </font>
      <fill>
        <patternFill>
          <bgColor theme="4" tint="-0.24994659260841701"/>
        </patternFill>
      </fill>
      <border>
        <left/>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2000" b="1" i="0" u="none" strike="noStrike" kern="1200" cap="none" spc="20" baseline="0">
                <a:solidFill>
                  <a:schemeClr val="tx1"/>
                </a:solidFill>
                <a:latin typeface="+mn-lt"/>
                <a:ea typeface="+mn-ea"/>
                <a:cs typeface="+mn-cs"/>
              </a:defRPr>
            </a:pPr>
            <a:r>
              <a:rPr lang="en-US" sz="2000" b="1">
                <a:solidFill>
                  <a:schemeClr val="tx1"/>
                </a:solidFill>
              </a:rPr>
              <a:t>System Signal</a:t>
            </a:r>
            <a:r>
              <a:rPr lang="en-US" sz="2000" b="1" baseline="0">
                <a:solidFill>
                  <a:schemeClr val="tx1"/>
                </a:solidFill>
              </a:rPr>
              <a:t> to </a:t>
            </a:r>
            <a:r>
              <a:rPr lang="en-US" sz="2000" b="1">
                <a:solidFill>
                  <a:schemeClr val="tx1"/>
                </a:solidFill>
              </a:rPr>
              <a:t>Noise Ratio (SNR)</a:t>
            </a:r>
          </a:p>
        </c:rich>
      </c:tx>
      <c:layout>
        <c:manualLayout>
          <c:xMode val="edge"/>
          <c:yMode val="edge"/>
          <c:x val="0.24813697701134865"/>
          <c:y val="2.8548918737064451E-2"/>
        </c:manualLayout>
      </c:layout>
      <c:overlay val="0"/>
      <c:spPr>
        <a:noFill/>
        <a:ln>
          <a:noFill/>
        </a:ln>
        <a:effectLst/>
      </c:spPr>
      <c:txPr>
        <a:bodyPr rot="0" spcFirstLastPara="1" vertOverflow="ellipsis" vert="horz" wrap="square" anchor="ctr" anchorCtr="1"/>
        <a:lstStyle/>
        <a:p>
          <a:pPr>
            <a:defRPr sz="2000" b="1" i="0" u="none" strike="noStrike" kern="1200" cap="none" spc="20" baseline="0">
              <a:solidFill>
                <a:schemeClr val="tx1"/>
              </a:solidFill>
              <a:latin typeface="+mn-lt"/>
              <a:ea typeface="+mn-ea"/>
              <a:cs typeface="+mn-cs"/>
            </a:defRPr>
          </a:pPr>
          <a:endParaRPr lang="en-US"/>
        </a:p>
      </c:txPr>
    </c:title>
    <c:autoTitleDeleted val="0"/>
    <c:plotArea>
      <c:layout>
        <c:manualLayout>
          <c:layoutTarget val="inner"/>
          <c:xMode val="edge"/>
          <c:yMode val="edge"/>
          <c:x val="4.661455009261524E-2"/>
          <c:y val="0.12927522591964841"/>
          <c:w val="0.74744788552731056"/>
          <c:h val="0.72610110397619432"/>
        </c:manualLayout>
      </c:layout>
      <c:scatterChart>
        <c:scatterStyle val="lineMarker"/>
        <c:varyColors val="0"/>
        <c:ser>
          <c:idx val="1"/>
          <c:order val="0"/>
          <c:spPr>
            <a:ln w="38100" cap="flat" cmpd="sng" algn="ctr">
              <a:solidFill>
                <a:schemeClr val="accent1"/>
              </a:solidFill>
              <a:prstDash val="sysDot"/>
              <a:round/>
            </a:ln>
            <a:effectLst/>
          </c:spPr>
          <c:marker>
            <c:symbol val="circle"/>
            <c:size val="10"/>
            <c:spPr>
              <a:solidFill>
                <a:schemeClr val="accent1"/>
              </a:solidFill>
              <a:ln w="9525" cap="flat" cmpd="sng" algn="ctr">
                <a:solidFill>
                  <a:schemeClr val="accent6">
                    <a:tint val="77000"/>
                    <a:shade val="95000"/>
                  </a:schemeClr>
                </a:solidFill>
                <a:round/>
              </a:ln>
              <a:effectLst/>
            </c:spPr>
          </c:marker>
          <c:dPt>
            <c:idx val="2"/>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5-E3B0-4DCB-9408-0663AD375862}"/>
              </c:ext>
            </c:extLst>
          </c:dPt>
          <c:dPt>
            <c:idx val="3"/>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4-E3B0-4DCB-9408-0663AD375862}"/>
              </c:ext>
            </c:extLst>
          </c:dPt>
          <c:dPt>
            <c:idx val="4"/>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3-E3B0-4DCB-9408-0663AD375862}"/>
              </c:ext>
            </c:extLst>
          </c:dPt>
          <c:dPt>
            <c:idx val="5"/>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2-E3B0-4DCB-9408-0663AD375862}"/>
              </c:ext>
            </c:extLst>
          </c:dPt>
          <c:dPt>
            <c:idx val="6"/>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1-E3B0-4DCB-9408-0663AD375862}"/>
              </c:ext>
            </c:extLst>
          </c:dPt>
          <c:dPt>
            <c:idx val="7"/>
            <c:marker>
              <c:symbol val="circle"/>
              <c:size val="10"/>
              <c:spPr>
                <a:solidFill>
                  <a:schemeClr val="accent1"/>
                </a:solidFill>
                <a:ln w="9525" cap="flat" cmpd="sng" algn="ctr">
                  <a:solidFill>
                    <a:schemeClr val="accent6">
                      <a:tint val="77000"/>
                      <a:shade val="95000"/>
                    </a:schemeClr>
                  </a:solidFill>
                  <a:round/>
                </a:ln>
                <a:effectLst/>
              </c:spPr>
            </c:marker>
            <c:bubble3D val="0"/>
            <c:spPr>
              <a:ln w="38100" cap="flat" cmpd="sng" algn="ctr">
                <a:solidFill>
                  <a:schemeClr val="accent1"/>
                </a:solidFill>
                <a:prstDash val="solid"/>
                <a:round/>
              </a:ln>
              <a:effectLst/>
            </c:spPr>
            <c:extLst>
              <c:ext xmlns:c16="http://schemas.microsoft.com/office/drawing/2014/chart" uri="{C3380CC4-5D6E-409C-BE32-E72D297353CC}">
                <c16:uniqueId val="{00000010-E3B0-4DCB-9408-0663AD375862}"/>
              </c:ext>
            </c:extLst>
          </c:dPt>
          <c:xVal>
            <c:numRef>
              <c:f>'PGA855+ADS127L11 Noise'!$E$37:$E$44</c:f>
              <c:numCache>
                <c:formatCode>0.000</c:formatCode>
                <c:ptCount val="8"/>
                <c:pt idx="0">
                  <c:v>0.125</c:v>
                </c:pt>
                <c:pt idx="1">
                  <c:v>0.25</c:v>
                </c:pt>
                <c:pt idx="2">
                  <c:v>0.5</c:v>
                </c:pt>
                <c:pt idx="3" formatCode="0">
                  <c:v>1</c:v>
                </c:pt>
                <c:pt idx="4" formatCode="0">
                  <c:v>2</c:v>
                </c:pt>
                <c:pt idx="5" formatCode="0">
                  <c:v>4</c:v>
                </c:pt>
                <c:pt idx="6" formatCode="0">
                  <c:v>8</c:v>
                </c:pt>
                <c:pt idx="7" formatCode="0">
                  <c:v>16</c:v>
                </c:pt>
              </c:numCache>
            </c:numRef>
          </c:xVal>
          <c:yVal>
            <c:numRef>
              <c:f>'PGA855+ADS127L11 Noise'!$H$37:$H$44</c:f>
              <c:numCache>
                <c:formatCode>0.00</c:formatCode>
                <c:ptCount val="8"/>
                <c:pt idx="0">
                  <c:v>110.4977504382754</c:v>
                </c:pt>
                <c:pt idx="1">
                  <c:v>110.49324575081359</c:v>
                </c:pt>
                <c:pt idx="2">
                  <c:v>110.47527358061549</c:v>
                </c:pt>
                <c:pt idx="3">
                  <c:v>110.33845665963916</c:v>
                </c:pt>
                <c:pt idx="4">
                  <c:v>109.68357257270702</c:v>
                </c:pt>
                <c:pt idx="5">
                  <c:v>107.93220709802031</c:v>
                </c:pt>
                <c:pt idx="6">
                  <c:v>103.83363104272246</c:v>
                </c:pt>
                <c:pt idx="7">
                  <c:v>98.492241952758576</c:v>
                </c:pt>
              </c:numCache>
            </c:numRef>
          </c:yVal>
          <c:smooth val="0"/>
          <c:extLst>
            <c:ext xmlns:c16="http://schemas.microsoft.com/office/drawing/2014/chart" uri="{C3380CC4-5D6E-409C-BE32-E72D297353CC}">
              <c16:uniqueId val="{0000000F-E3B0-4DCB-9408-0663AD375862}"/>
            </c:ext>
          </c:extLst>
        </c:ser>
        <c:dLbls>
          <c:showLegendKey val="0"/>
          <c:showVal val="0"/>
          <c:showCatName val="0"/>
          <c:showSerName val="0"/>
          <c:showPercent val="0"/>
          <c:showBubbleSize val="0"/>
        </c:dLbls>
        <c:axId val="99114368"/>
        <c:axId val="99124736"/>
      </c:scatterChart>
      <c:valAx>
        <c:axId val="99114368"/>
        <c:scaling>
          <c:logBase val="2"/>
          <c:orientation val="minMax"/>
          <c:max val="16"/>
          <c:min val="0.25"/>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sz="1800" b="1">
                    <a:solidFill>
                      <a:schemeClr val="tx1"/>
                    </a:solidFill>
                  </a:rPr>
                  <a:t>PGA Gain (V/V)</a:t>
                </a:r>
              </a:p>
            </c:rich>
          </c:tx>
          <c:layout>
            <c:manualLayout>
              <c:xMode val="edge"/>
              <c:yMode val="edge"/>
              <c:x val="0.37698976796843275"/>
              <c:y val="0.93648682418868134"/>
            </c:manualLayout>
          </c:layout>
          <c:overlay val="0"/>
          <c:spPr>
            <a:noFill/>
            <a:ln>
              <a:noFill/>
            </a:ln>
            <a:effectLst/>
          </c:spPr>
          <c:txPr>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numFmt formatCode="0.000" sourceLinked="1"/>
        <c:majorTickMark val="none"/>
        <c:minorTickMark val="none"/>
        <c:tickLblPos val="nextTo"/>
        <c:spPr>
          <a:noFill/>
          <a:ln w="9525" cap="rnd">
            <a:solidFill>
              <a:schemeClr val="dk1">
                <a:lumMod val="25000"/>
                <a:lumOff val="75000"/>
              </a:schemeClr>
            </a:solidFill>
            <a:round/>
          </a:ln>
          <a:effectLst/>
        </c:spPr>
        <c:txPr>
          <a:bodyPr rot="-60000000" spcFirstLastPara="1" vertOverflow="ellipsis" vert="horz" wrap="square" anchor="ctr" anchorCtr="1"/>
          <a:lstStyle/>
          <a:p>
            <a:pPr>
              <a:defRPr sz="1200" b="0" i="0" u="none" strike="noStrike" kern="1200" spc="0" baseline="0">
                <a:solidFill>
                  <a:schemeClr val="dk1">
                    <a:lumMod val="65000"/>
                    <a:lumOff val="35000"/>
                  </a:schemeClr>
                </a:solidFill>
                <a:latin typeface="+mn-lt"/>
                <a:ea typeface="+mn-ea"/>
                <a:cs typeface="+mn-cs"/>
              </a:defRPr>
            </a:pPr>
            <a:endParaRPr lang="en-US"/>
          </a:p>
        </c:txPr>
        <c:crossAx val="99124736"/>
        <c:crosses val="autoZero"/>
        <c:crossBetween val="midCat"/>
      </c:valAx>
      <c:valAx>
        <c:axId val="99124736"/>
        <c:scaling>
          <c:orientation val="minMax"/>
        </c:scaling>
        <c:delete val="0"/>
        <c:axPos val="r"/>
        <c:majorGridlines>
          <c:spPr>
            <a:ln w="9525" cap="flat" cmpd="sng" algn="ctr">
              <a:solidFill>
                <a:schemeClr val="tx1">
                  <a:lumMod val="75000"/>
                  <a:lumOff val="25000"/>
                </a:schemeClr>
              </a:solidFill>
              <a:round/>
            </a:ln>
            <a:effectLst/>
          </c:spPr>
        </c:majorGridlines>
        <c:title>
          <c:tx>
            <c:rich>
              <a:bodyPr rot="-540000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sz="1800" b="1">
                    <a:solidFill>
                      <a:schemeClr val="tx1"/>
                    </a:solidFill>
                  </a:rPr>
                  <a:t>SNR (dB)</a:t>
                </a:r>
              </a:p>
            </c:rich>
          </c:tx>
          <c:layout>
            <c:manualLayout>
              <c:xMode val="edge"/>
              <c:yMode val="edge"/>
              <c:x val="0.90477484729482283"/>
              <c:y val="0.36614236090677926"/>
            </c:manualLayout>
          </c:layout>
          <c:overlay val="0"/>
          <c:spPr>
            <a:noFill/>
            <a:ln>
              <a:noFill/>
            </a:ln>
            <a:effectLst/>
          </c:spPr>
          <c:txPr>
            <a:bodyPr rot="-5400000" spcFirstLastPara="1" vertOverflow="ellipsis" vert="horz" wrap="square" anchor="ctr" anchorCtr="1"/>
            <a:lstStyle/>
            <a:p>
              <a:pPr>
                <a:defRPr sz="1800" b="1" i="0" u="none" strike="noStrike" kern="1200" baseline="0">
                  <a:solidFill>
                    <a:schemeClr val="tx1"/>
                  </a:solidFill>
                  <a:latin typeface="+mn-lt"/>
                  <a:ea typeface="+mn-ea"/>
                  <a:cs typeface="+mn-cs"/>
                </a:defRPr>
              </a:pPr>
              <a:endParaRPr lang="en-US"/>
            </a:p>
          </c:txPr>
        </c:title>
        <c:numFmt formatCode="0.00" sourceLinked="1"/>
        <c:majorTickMark val="none"/>
        <c:minorTickMark val="none"/>
        <c:tickLblPos val="nextTo"/>
        <c:spPr>
          <a:noFill/>
          <a:ln w="9525" cap="rnd">
            <a:solidFill>
              <a:schemeClr val="dk1">
                <a:lumMod val="25000"/>
                <a:lumOff val="75000"/>
              </a:schemeClr>
            </a:solidFill>
            <a:round/>
          </a:ln>
          <a:effectLst/>
        </c:spPr>
        <c:txPr>
          <a:bodyPr rot="-60000000" spcFirstLastPara="1" vertOverflow="ellipsis" vert="horz" wrap="square" anchor="ctr" anchorCtr="1"/>
          <a:lstStyle/>
          <a:p>
            <a:pPr>
              <a:defRPr sz="1200" b="0" i="0" u="none" strike="noStrike" kern="1200" spc="0" baseline="0">
                <a:solidFill>
                  <a:schemeClr val="dk1">
                    <a:lumMod val="65000"/>
                    <a:lumOff val="35000"/>
                  </a:schemeClr>
                </a:solidFill>
                <a:latin typeface="+mn-lt"/>
                <a:ea typeface="+mn-ea"/>
                <a:cs typeface="+mn-cs"/>
              </a:defRPr>
            </a:pPr>
            <a:endParaRPr lang="en-US"/>
          </a:p>
        </c:txPr>
        <c:crossAx val="99114368"/>
        <c:crosses val="max"/>
        <c:crossBetween val="midCat"/>
      </c:valAx>
      <c:spPr>
        <a:solidFill>
          <a:schemeClr val="bg1"/>
        </a:solidFill>
        <a:ln>
          <a:noFill/>
        </a:ln>
        <a:effectLst/>
      </c:spPr>
    </c:plotArea>
    <c:plotVisOnly val="1"/>
    <c:dispBlanksAs val="gap"/>
    <c:showDLblsOverMax val="0"/>
  </c:chart>
  <c:spPr>
    <a:solidFill>
      <a:schemeClr val="lt1"/>
    </a:solidFill>
    <a:ln w="9525" cap="flat" cmpd="sng" algn="ctr">
      <a:solidFill>
        <a:schemeClr val="dk1">
          <a:lumMod val="15000"/>
          <a:lumOff val="85000"/>
        </a:schemeClr>
      </a:solidFill>
      <a:round/>
    </a:ln>
    <a:effectLst/>
  </c:spPr>
  <c:txPr>
    <a:bodyPr/>
    <a:lstStyle/>
    <a:p>
      <a:pPr>
        <a:defRPr/>
      </a:pPr>
      <a:endParaRPr lang="en-US"/>
    </a:p>
  </c:txPr>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8"/>
    </mc:Choice>
    <mc:Fallback>
      <c:style val="8"/>
    </mc:Fallback>
  </mc:AlternateContent>
  <c:chart>
    <c:title>
      <c:tx>
        <c:rich>
          <a:bodyPr rot="0" spcFirstLastPara="1" vertOverflow="ellipsis" vert="horz" wrap="square" anchor="ctr" anchorCtr="1"/>
          <a:lstStyle/>
          <a:p>
            <a:pPr>
              <a:defRPr sz="2000" b="1" i="0" u="none" strike="noStrike" kern="1200" cap="none" spc="20" baseline="0">
                <a:solidFill>
                  <a:schemeClr val="tx1"/>
                </a:solidFill>
                <a:latin typeface="+mn-lt"/>
                <a:ea typeface="+mn-ea"/>
                <a:cs typeface="+mn-cs"/>
              </a:defRPr>
            </a:pPr>
            <a:r>
              <a:rPr lang="en-US" sz="2000" b="1">
                <a:solidFill>
                  <a:schemeClr val="tx1"/>
                </a:solidFill>
              </a:rPr>
              <a:t>System Effective Resolution</a:t>
            </a:r>
          </a:p>
        </c:rich>
      </c:tx>
      <c:layout>
        <c:manualLayout>
          <c:xMode val="edge"/>
          <c:yMode val="edge"/>
          <c:x val="0.283657057929384"/>
          <c:y val="2.5931229451827766E-2"/>
        </c:manualLayout>
      </c:layout>
      <c:overlay val="0"/>
      <c:spPr>
        <a:noFill/>
        <a:ln>
          <a:noFill/>
        </a:ln>
        <a:effectLst/>
      </c:spPr>
    </c:title>
    <c:autoTitleDeleted val="0"/>
    <c:plotArea>
      <c:layout>
        <c:manualLayout>
          <c:layoutTarget val="inner"/>
          <c:xMode val="edge"/>
          <c:yMode val="edge"/>
          <c:x val="4.661455009261524E-2"/>
          <c:y val="0.12927522591964841"/>
          <c:w val="0.74744788552731056"/>
          <c:h val="0.72610110397619432"/>
        </c:manualLayout>
      </c:layout>
      <c:scatterChart>
        <c:scatterStyle val="lineMarker"/>
        <c:varyColors val="0"/>
        <c:ser>
          <c:idx val="1"/>
          <c:order val="0"/>
          <c:spPr>
            <a:ln w="38100" cap="flat" cmpd="sng" algn="ctr">
              <a:solidFill>
                <a:schemeClr val="accent1"/>
              </a:solidFill>
              <a:prstDash val="sysDot"/>
              <a:round/>
            </a:ln>
            <a:effectLst/>
          </c:spPr>
          <c:marker>
            <c:symbol val="circle"/>
            <c:size val="10"/>
            <c:spPr>
              <a:solidFill>
                <a:schemeClr val="accent1"/>
              </a:solidFill>
              <a:ln w="9525" cap="flat" cmpd="sng" algn="ctr">
                <a:solidFill>
                  <a:schemeClr val="accent6">
                    <a:tint val="77000"/>
                    <a:shade val="95000"/>
                  </a:schemeClr>
                </a:solidFill>
                <a:round/>
              </a:ln>
              <a:effectLst/>
            </c:spPr>
          </c:marker>
          <c:dPt>
            <c:idx val="2"/>
            <c:bubble3D val="0"/>
            <c:spPr>
              <a:ln w="38100" cap="flat" cmpd="sng" algn="ctr">
                <a:solidFill>
                  <a:schemeClr val="accent1"/>
                </a:solidFill>
                <a:prstDash val="solid"/>
                <a:round/>
              </a:ln>
              <a:effectLst/>
            </c:spPr>
            <c:extLst>
              <c:ext xmlns:c16="http://schemas.microsoft.com/office/drawing/2014/chart" uri="{C3380CC4-5D6E-409C-BE32-E72D297353CC}">
                <c16:uniqueId val="{00000006-74AF-4806-AC73-FFEC675DC4B6}"/>
              </c:ext>
            </c:extLst>
          </c:dPt>
          <c:dPt>
            <c:idx val="3"/>
            <c:bubble3D val="0"/>
            <c:spPr>
              <a:ln w="38100" cap="flat" cmpd="sng" algn="ctr">
                <a:solidFill>
                  <a:schemeClr val="accent1"/>
                </a:solidFill>
                <a:prstDash val="solid"/>
                <a:round/>
              </a:ln>
              <a:effectLst/>
            </c:spPr>
            <c:extLst>
              <c:ext xmlns:c16="http://schemas.microsoft.com/office/drawing/2014/chart" uri="{C3380CC4-5D6E-409C-BE32-E72D297353CC}">
                <c16:uniqueId val="{00000008-74AF-4806-AC73-FFEC675DC4B6}"/>
              </c:ext>
            </c:extLst>
          </c:dPt>
          <c:dPt>
            <c:idx val="4"/>
            <c:bubble3D val="0"/>
            <c:spPr>
              <a:ln w="38100" cap="flat" cmpd="sng" algn="ctr">
                <a:solidFill>
                  <a:schemeClr val="accent1"/>
                </a:solidFill>
                <a:prstDash val="solid"/>
                <a:round/>
              </a:ln>
              <a:effectLst/>
            </c:spPr>
            <c:extLst>
              <c:ext xmlns:c16="http://schemas.microsoft.com/office/drawing/2014/chart" uri="{C3380CC4-5D6E-409C-BE32-E72D297353CC}">
                <c16:uniqueId val="{0000000A-74AF-4806-AC73-FFEC675DC4B6}"/>
              </c:ext>
            </c:extLst>
          </c:dPt>
          <c:dPt>
            <c:idx val="5"/>
            <c:bubble3D val="0"/>
            <c:spPr>
              <a:ln w="38100" cap="flat" cmpd="sng" algn="ctr">
                <a:solidFill>
                  <a:schemeClr val="accent1"/>
                </a:solidFill>
                <a:prstDash val="solid"/>
                <a:round/>
              </a:ln>
              <a:effectLst/>
            </c:spPr>
            <c:extLst>
              <c:ext xmlns:c16="http://schemas.microsoft.com/office/drawing/2014/chart" uri="{C3380CC4-5D6E-409C-BE32-E72D297353CC}">
                <c16:uniqueId val="{0000000C-74AF-4806-AC73-FFEC675DC4B6}"/>
              </c:ext>
            </c:extLst>
          </c:dPt>
          <c:dPt>
            <c:idx val="6"/>
            <c:bubble3D val="0"/>
            <c:spPr>
              <a:ln w="38100" cap="flat" cmpd="sng" algn="ctr">
                <a:solidFill>
                  <a:schemeClr val="accent1"/>
                </a:solidFill>
                <a:prstDash val="solid"/>
                <a:round/>
              </a:ln>
              <a:effectLst/>
            </c:spPr>
            <c:extLst>
              <c:ext xmlns:c16="http://schemas.microsoft.com/office/drawing/2014/chart" uri="{C3380CC4-5D6E-409C-BE32-E72D297353CC}">
                <c16:uniqueId val="{0000000E-74AF-4806-AC73-FFEC675DC4B6}"/>
              </c:ext>
            </c:extLst>
          </c:dPt>
          <c:dPt>
            <c:idx val="7"/>
            <c:bubble3D val="0"/>
            <c:spPr>
              <a:ln w="38100" cap="flat" cmpd="sng" algn="ctr">
                <a:solidFill>
                  <a:schemeClr val="accent1"/>
                </a:solidFill>
                <a:prstDash val="solid"/>
                <a:round/>
              </a:ln>
              <a:effectLst/>
            </c:spPr>
            <c:extLst>
              <c:ext xmlns:c16="http://schemas.microsoft.com/office/drawing/2014/chart" uri="{C3380CC4-5D6E-409C-BE32-E72D297353CC}">
                <c16:uniqueId val="{00000010-74AF-4806-AC73-FFEC675DC4B6}"/>
              </c:ext>
            </c:extLst>
          </c:dPt>
          <c:xVal>
            <c:numRef>
              <c:f>'PGA855+ADS127L11 Noise'!$E$37:$E$44</c:f>
              <c:numCache>
                <c:formatCode>0.000</c:formatCode>
                <c:ptCount val="8"/>
                <c:pt idx="0">
                  <c:v>0.125</c:v>
                </c:pt>
                <c:pt idx="1">
                  <c:v>0.25</c:v>
                </c:pt>
                <c:pt idx="2">
                  <c:v>0.5</c:v>
                </c:pt>
                <c:pt idx="3" formatCode="0">
                  <c:v>1</c:v>
                </c:pt>
                <c:pt idx="4" formatCode="0">
                  <c:v>2</c:v>
                </c:pt>
                <c:pt idx="5" formatCode="0">
                  <c:v>4</c:v>
                </c:pt>
                <c:pt idx="6" formatCode="0">
                  <c:v>8</c:v>
                </c:pt>
                <c:pt idx="7" formatCode="0">
                  <c:v>16</c:v>
                </c:pt>
              </c:numCache>
            </c:numRef>
          </c:xVal>
          <c:yVal>
            <c:numRef>
              <c:f>'PGA855+ADS127L11 Noise'!$I$37:$I$44</c:f>
              <c:numCache>
                <c:formatCode>0.00</c:formatCode>
                <c:ptCount val="8"/>
                <c:pt idx="0">
                  <c:v>19.853279080137973</c:v>
                </c:pt>
                <c:pt idx="1">
                  <c:v>19.852530867746065</c:v>
                </c:pt>
                <c:pt idx="2">
                  <c:v>19.849545754890709</c:v>
                </c:pt>
                <c:pt idx="3">
                  <c:v>19.826820956208348</c:v>
                </c:pt>
                <c:pt idx="4">
                  <c:v>19.718047063844619</c:v>
                </c:pt>
                <c:pt idx="5">
                  <c:v>19.427151555105745</c:v>
                </c:pt>
                <c:pt idx="6">
                  <c:v>18.746392807749416</c:v>
                </c:pt>
                <c:pt idx="7">
                  <c:v>17.85920728356562</c:v>
                </c:pt>
              </c:numCache>
            </c:numRef>
          </c:yVal>
          <c:smooth val="0"/>
          <c:extLst>
            <c:ext xmlns:c16="http://schemas.microsoft.com/office/drawing/2014/chart" uri="{C3380CC4-5D6E-409C-BE32-E72D297353CC}">
              <c16:uniqueId val="{00000011-74AF-4806-AC73-FFEC675DC4B6}"/>
            </c:ext>
          </c:extLst>
        </c:ser>
        <c:dLbls>
          <c:showLegendKey val="0"/>
          <c:showVal val="0"/>
          <c:showCatName val="0"/>
          <c:showSerName val="0"/>
          <c:showPercent val="0"/>
          <c:showBubbleSize val="0"/>
        </c:dLbls>
        <c:axId val="99114368"/>
        <c:axId val="99124736"/>
      </c:scatterChart>
      <c:valAx>
        <c:axId val="99114368"/>
        <c:scaling>
          <c:logBase val="2"/>
          <c:orientation val="minMax"/>
          <c:max val="16"/>
          <c:min val="0.25"/>
        </c:scaling>
        <c:delete val="0"/>
        <c:axPos val="b"/>
        <c:majorGridlines>
          <c:spPr>
            <a:ln w="9525" cap="flat" cmpd="sng" algn="ctr">
              <a:solidFill>
                <a:schemeClr val="tx1"/>
              </a:solidFill>
              <a:round/>
            </a:ln>
            <a:effectLst/>
          </c:spPr>
        </c:majorGridlines>
        <c:title>
          <c:tx>
            <c:rich>
              <a:bodyPr rot="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sz="1800" b="1">
                    <a:solidFill>
                      <a:schemeClr val="tx1"/>
                    </a:solidFill>
                  </a:rPr>
                  <a:t>PGA Gain (V/V)</a:t>
                </a:r>
              </a:p>
            </c:rich>
          </c:tx>
          <c:layout>
            <c:manualLayout>
              <c:xMode val="edge"/>
              <c:yMode val="edge"/>
              <c:x val="0.37698976796843275"/>
              <c:y val="0.93648682418868134"/>
            </c:manualLayout>
          </c:layout>
          <c:overlay val="0"/>
          <c:spPr>
            <a:noFill/>
            <a:ln>
              <a:noFill/>
            </a:ln>
            <a:effectLst/>
          </c:spPr>
        </c:title>
        <c:numFmt formatCode="0.000" sourceLinked="1"/>
        <c:majorTickMark val="none"/>
        <c:minorTickMark val="none"/>
        <c:tickLblPos val="nextTo"/>
        <c:spPr>
          <a:noFill/>
          <a:ln w="9525" cap="rnd">
            <a:solidFill>
              <a:schemeClr val="dk1">
                <a:lumMod val="25000"/>
                <a:lumOff val="75000"/>
              </a:schemeClr>
            </a:solidFill>
            <a:round/>
          </a:ln>
          <a:effectLst/>
        </c:spPr>
        <c:txPr>
          <a:bodyPr rot="-60000000" spcFirstLastPara="1" vertOverflow="ellipsis" vert="horz" wrap="square" anchor="ctr" anchorCtr="1"/>
          <a:lstStyle/>
          <a:p>
            <a:pPr>
              <a:defRPr sz="1200" b="0" i="0" u="none" strike="noStrike" kern="1200" spc="0" baseline="0">
                <a:solidFill>
                  <a:schemeClr val="dk1">
                    <a:lumMod val="65000"/>
                    <a:lumOff val="35000"/>
                  </a:schemeClr>
                </a:solidFill>
                <a:latin typeface="+mn-lt"/>
                <a:ea typeface="+mn-ea"/>
                <a:cs typeface="+mn-cs"/>
              </a:defRPr>
            </a:pPr>
            <a:endParaRPr lang="en-US"/>
          </a:p>
        </c:txPr>
        <c:crossAx val="99124736"/>
        <c:crosses val="autoZero"/>
        <c:crossBetween val="midCat"/>
      </c:valAx>
      <c:valAx>
        <c:axId val="99124736"/>
        <c:scaling>
          <c:orientation val="minMax"/>
        </c:scaling>
        <c:delete val="0"/>
        <c:axPos val="r"/>
        <c:majorGridlines>
          <c:spPr>
            <a:ln w="9525" cap="flat" cmpd="sng" algn="ctr">
              <a:solidFill>
                <a:schemeClr val="tx1">
                  <a:lumMod val="75000"/>
                  <a:lumOff val="25000"/>
                </a:schemeClr>
              </a:solidFill>
              <a:round/>
            </a:ln>
            <a:effectLst/>
          </c:spPr>
        </c:majorGridlines>
        <c:title>
          <c:tx>
            <c:rich>
              <a:bodyPr rot="-5400000" spcFirstLastPara="1" vertOverflow="ellipsis" vert="horz" wrap="square" anchor="ctr" anchorCtr="1"/>
              <a:lstStyle/>
              <a:p>
                <a:pPr>
                  <a:defRPr sz="1800" b="1" i="0" u="none" strike="noStrike" kern="1200" baseline="0">
                    <a:solidFill>
                      <a:schemeClr val="tx1"/>
                    </a:solidFill>
                    <a:latin typeface="+mn-lt"/>
                    <a:ea typeface="+mn-ea"/>
                    <a:cs typeface="+mn-cs"/>
                  </a:defRPr>
                </a:pPr>
                <a:r>
                  <a:rPr lang="en-US" sz="1800" b="1">
                    <a:solidFill>
                      <a:schemeClr val="tx1"/>
                    </a:solidFill>
                  </a:rPr>
                  <a:t>Effective Resolution (Bits)</a:t>
                </a:r>
              </a:p>
            </c:rich>
          </c:tx>
          <c:layout>
            <c:manualLayout>
              <c:xMode val="edge"/>
              <c:yMode val="edge"/>
              <c:x val="0.9032379994408356"/>
              <c:y val="0.24593700077057529"/>
            </c:manualLayout>
          </c:layout>
          <c:overlay val="0"/>
          <c:spPr>
            <a:noFill/>
            <a:ln>
              <a:noFill/>
            </a:ln>
            <a:effectLst/>
          </c:spPr>
        </c:title>
        <c:numFmt formatCode="0.00" sourceLinked="1"/>
        <c:majorTickMark val="none"/>
        <c:minorTickMark val="none"/>
        <c:tickLblPos val="nextTo"/>
        <c:spPr>
          <a:noFill/>
          <a:ln w="9525" cap="rnd">
            <a:solidFill>
              <a:schemeClr val="dk1">
                <a:lumMod val="25000"/>
                <a:lumOff val="75000"/>
              </a:schemeClr>
            </a:solidFill>
            <a:round/>
          </a:ln>
          <a:effectLst/>
        </c:spPr>
        <c:txPr>
          <a:bodyPr rot="-60000000" spcFirstLastPara="1" vertOverflow="ellipsis" vert="horz" wrap="square" anchor="ctr" anchorCtr="1"/>
          <a:lstStyle/>
          <a:p>
            <a:pPr>
              <a:defRPr sz="1200" b="0" i="0" u="none" strike="noStrike" kern="1200" spc="0" baseline="0">
                <a:solidFill>
                  <a:schemeClr val="dk1">
                    <a:lumMod val="65000"/>
                    <a:lumOff val="35000"/>
                  </a:schemeClr>
                </a:solidFill>
                <a:latin typeface="+mn-lt"/>
                <a:ea typeface="+mn-ea"/>
                <a:cs typeface="+mn-cs"/>
              </a:defRPr>
            </a:pPr>
            <a:endParaRPr lang="en-US"/>
          </a:p>
        </c:txPr>
        <c:crossAx val="99114368"/>
        <c:crosses val="max"/>
        <c:crossBetween val="midCat"/>
      </c:valAx>
      <c:spPr>
        <a:solidFill>
          <a:schemeClr val="bg1"/>
        </a:solidFill>
        <a:ln>
          <a:noFill/>
        </a:ln>
        <a:effectLst/>
      </c:spPr>
    </c:plotArea>
    <c:plotVisOnly val="1"/>
    <c:dispBlanksAs val="gap"/>
    <c:showDLblsOverMax val="0"/>
  </c:chart>
  <c:txPr>
    <a:bodyPr/>
    <a:lstStyle/>
    <a:p>
      <a:pPr>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9">
  <a:schemeClr val="accent6"/>
</cs:colorStyle>
</file>

<file path=xl/charts/style1.xml><?xml version="1.0" encoding="utf-8"?>
<cs:chartStyle xmlns:cs="http://schemas.microsoft.com/office/drawing/2012/chartStyle" xmlns:a="http://schemas.openxmlformats.org/drawingml/2006/main" id="246">
  <cs:axisTitle>
    <cs:lnRef idx="0"/>
    <cs:fillRef idx="0"/>
    <cs:effectRef idx="0"/>
    <cs:fontRef idx="minor">
      <a:schemeClr val="dk1">
        <a:lumMod val="65000"/>
        <a:lumOff val="35000"/>
      </a:schemeClr>
    </cs:fontRef>
    <cs:defRPr sz="900" kern="1200"/>
  </cs:axisTitle>
  <cs:categoryAxis>
    <cs:lnRef idx="0"/>
    <cs:fillRef idx="0"/>
    <cs:effectRef idx="0"/>
    <cs:fontRef idx="minor">
      <a:schemeClr val="dk1">
        <a:lumMod val="65000"/>
        <a:lumOff val="35000"/>
      </a:schemeClr>
    </cs:fontRef>
    <cs:spPr>
      <a:ln w="9525" cap="rnd">
        <a:solidFill>
          <a:schemeClr val="dk1">
            <a:lumMod val="20000"/>
            <a:lumOff val="80000"/>
          </a:schemeClr>
        </a:solidFill>
        <a:round/>
      </a:ln>
    </cs:spPr>
    <cs:defRPr sz="900" kern="1200"/>
  </cs:categoryAxis>
  <cs:chartArea mods="allowNoLineOverride">
    <cs:lnRef idx="0"/>
    <cs:fillRef idx="0"/>
    <cs:effectRef idx="0"/>
    <cs:fontRef idx="minor">
      <a:schemeClr val="dk1"/>
    </cs:fontRef>
    <cs:spPr>
      <a:solidFill>
        <a:schemeClr val="lt1"/>
      </a:solidFill>
      <a:ln w="9525" cap="flat" cmpd="sng" algn="ctr">
        <a:solidFill>
          <a:schemeClr val="dk1">
            <a:lumMod val="15000"/>
            <a:lumOff val="85000"/>
          </a:schemeClr>
        </a:solidFill>
        <a:round/>
      </a:ln>
    </cs:spPr>
    <cs:defRPr sz="900" kern="1200"/>
  </cs:chartArea>
  <cs:dataLabel>
    <cs:lnRef idx="0"/>
    <cs:fillRef idx="0"/>
    <cs:effectRef idx="0"/>
    <cs:fontRef idx="minor">
      <a:schemeClr val="dk1">
        <a:lumMod val="65000"/>
        <a:lumOff val="3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
  <cs:dataPoint3D>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3D>
  <cs:dataPointLine>
    <cs:lnRef idx="0">
      <cs:styleClr val="auto"/>
    </cs:lnRef>
    <cs:fillRef idx="2"/>
    <cs:effectRef idx="1"/>
    <cs:fontRef idx="minor">
      <a:schemeClr val="dk1"/>
    </cs:fontRef>
    <cs:spPr>
      <a:ln w="9525" cap="flat" cmpd="sng" algn="ctr">
        <a:solidFill>
          <a:schemeClr val="phClr">
            <a:alpha val="70000"/>
          </a:schemeClr>
        </a:solidFill>
        <a:prstDash val="sysDot"/>
        <a:round/>
      </a:ln>
    </cs:spPr>
  </cs:dataPointLine>
  <cs:dataPointMarker>
    <cs:lnRef idx="0">
      <cs:styleClr val="auto"/>
    </cs:lnRef>
    <cs:fillRef idx="2">
      <cs:styleClr val="auto"/>
    </cs:fillRef>
    <cs:effectRef idx="1"/>
    <cs:fontRef idx="minor">
      <a:schemeClr val="dk1"/>
    </cs:fontRef>
    <cs:spPr>
      <a:ln w="9525" cap="flat" cmpd="sng" algn="ctr">
        <a:solidFill>
          <a:schemeClr val="phClr">
            <a:shade val="95000"/>
          </a:schemeClr>
        </a:solidFill>
        <a:round/>
      </a:ln>
    </cs:spPr>
  </cs:dataPointMarker>
  <cs:dataPointMarkerLayout symbol="circle" size="5"/>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dk1">
        <a:lumMod val="65000"/>
        <a:lumOff val="35000"/>
      </a:schemeClr>
    </cs:fontRef>
    <cs:spPr>
      <a:ln w="9525" cap="rnd">
        <a:solidFill>
          <a:schemeClr val="dk1">
            <a:lumMod val="15000"/>
            <a:lumOff val="85000"/>
          </a:schemeClr>
        </a:solidFill>
        <a:round/>
      </a:ln>
    </cs:spPr>
    <cs:defRPr sz="900" kern="1200"/>
  </cs:dataTable>
  <cs:downBar>
    <cs:lnRef idx="0"/>
    <cs:fillRef idx="0"/>
    <cs:effectRef idx="0"/>
    <cs:fontRef idx="minor">
      <a:schemeClr val="dk1"/>
    </cs:fontRef>
    <cs:spPr>
      <a:solidFill>
        <a:schemeClr val="dk1">
          <a:lumMod val="75000"/>
          <a:lumOff val="25000"/>
        </a:schemeClr>
      </a:solidFill>
      <a:ln w="9525" cap="rnd">
        <a:solidFill>
          <a:schemeClr val="dk1">
            <a:lumMod val="65000"/>
            <a:lumOff val="35000"/>
          </a:schemeClr>
        </a:solidFill>
        <a:round/>
      </a:ln>
    </cs:spPr>
  </cs:downBar>
  <cs:dropLine>
    <cs:lnRef idx="0"/>
    <cs:fillRef idx="0"/>
    <cs:effectRef idx="0"/>
    <cs:fontRef idx="minor">
      <a:schemeClr val="dk1"/>
    </cs:fontRef>
    <cs:spPr>
      <a:ln w="9525" cap="rnd">
        <a:solidFill>
          <a:schemeClr val="dk1">
            <a:lumMod val="35000"/>
            <a:lumOff val="65000"/>
          </a:schemeClr>
        </a:solidFill>
        <a:round/>
      </a:ln>
    </cs:spPr>
  </cs:dropLine>
  <cs:errorBar>
    <cs:lnRef idx="0"/>
    <cs:fillRef idx="0"/>
    <cs:effectRef idx="0"/>
    <cs:fontRef idx="minor">
      <a:schemeClr val="dk1"/>
    </cs:fontRef>
    <cs:spPr>
      <a:ln w="9525" cap="rnd">
        <a:solidFill>
          <a:schemeClr val="dk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dk1">
            <a:lumMod val="15000"/>
            <a:lumOff val="85000"/>
          </a:schemeClr>
        </a:solidFill>
        <a:round/>
      </a:ln>
    </cs:spPr>
  </cs:gridlineMajor>
  <cs:gridlineMinor>
    <cs:lnRef idx="0"/>
    <cs:fillRef idx="0"/>
    <cs:effectRef idx="0"/>
    <cs:fontRef idx="minor">
      <a:schemeClr val="dk1"/>
    </cs:fontRef>
    <cs:spPr>
      <a:ln w="9525" cap="flat" cmpd="sng" algn="ctr">
        <a:solidFill>
          <a:schemeClr val="dk1">
            <a:lumMod val="5000"/>
            <a:lumOff val="95000"/>
          </a:schemeClr>
        </a:solidFill>
        <a:round/>
      </a:ln>
    </cs:spPr>
  </cs:gridlineMinor>
  <cs:hiLoLine>
    <cs:lnRef idx="0"/>
    <cs:fillRef idx="0"/>
    <cs:effectRef idx="0"/>
    <cs:fontRef idx="minor">
      <a:schemeClr val="dk1"/>
    </cs:fontRef>
    <cs:spPr>
      <a:ln w="9525" cap="rnd">
        <a:solidFill>
          <a:schemeClr val="dk1">
            <a:lumMod val="35000"/>
            <a:lumOff val="65000"/>
          </a:schemeClr>
        </a:solidFill>
        <a:round/>
      </a:ln>
    </cs:spPr>
  </cs:hiLoLine>
  <cs:leaderLine>
    <cs:lnRef idx="0"/>
    <cs:fillRef idx="0"/>
    <cs:effectRef idx="0"/>
    <cs:fontRef idx="minor">
      <a:schemeClr val="dk1"/>
    </cs:fontRef>
    <cs:spPr>
      <a:ln w="9525" cap="rnd">
        <a:solidFill>
          <a:schemeClr val="dk1">
            <a:lumMod val="35000"/>
            <a:lumOff val="65000"/>
          </a:schemeClr>
        </a:solidFill>
        <a:round/>
      </a:ln>
    </cs:spPr>
  </cs:leaderLine>
  <cs:legend>
    <cs:lnRef idx="0"/>
    <cs:fillRef idx="0"/>
    <cs:effectRef idx="0"/>
    <cs:fontRef idx="minor">
      <a:schemeClr val="dk1">
        <a:lumMod val="65000"/>
        <a:lumOff val="35000"/>
      </a:schemeClr>
    </cs:fontRef>
    <cs:defRPr sz="900" kern="1200" spc="0" baseline="0"/>
  </cs:legend>
  <cs:plotArea>
    <cs:lnRef idx="0"/>
    <cs:fillRef idx="0"/>
    <cs:effectRef idx="0"/>
    <cs:fontRef idx="minor">
      <a:schemeClr val="dk1"/>
    </cs:fontRef>
    <cs:spPr>
      <a:gradFill>
        <a:gsLst>
          <a:gs pos="100000">
            <a:schemeClr val="lt1">
              <a:lumMod val="95000"/>
            </a:schemeClr>
          </a:gs>
          <a:gs pos="0">
            <a:schemeClr val="lt1">
              <a:alpha val="0"/>
            </a:schemeClr>
          </a:gs>
        </a:gsLst>
        <a:lin ang="5400000" scaled="0"/>
      </a:gradFill>
    </cs:spPr>
  </cs:plotArea>
  <cs:plotArea3D>
    <cs:lnRef idx="0"/>
    <cs:fillRef idx="0"/>
    <cs:effectRef idx="0"/>
    <cs:fontRef idx="minor">
      <a:schemeClr val="dk1"/>
    </cs:fontRef>
  </cs:plotArea3D>
  <cs:seriesAxis>
    <cs:lnRef idx="0"/>
    <cs:fillRef idx="0"/>
    <cs:effectRef idx="0"/>
    <cs:fontRef idx="minor">
      <a:schemeClr val="dk1">
        <a:lumMod val="65000"/>
        <a:lumOff val="35000"/>
      </a:schemeClr>
    </cs:fontRef>
    <cs:spPr>
      <a:ln w="9525" cap="rnd">
        <a:solidFill>
          <a:schemeClr val="dk1">
            <a:lumMod val="20000"/>
            <a:lumOff val="80000"/>
          </a:schemeClr>
        </a:solidFill>
        <a:round/>
      </a:ln>
    </cs:spPr>
    <cs:defRPr sz="900" kern="1200"/>
  </cs:seriesAxis>
  <cs:seriesLine>
    <cs:lnRef idx="0"/>
    <cs:fillRef idx="0"/>
    <cs:effectRef idx="0"/>
    <cs:fontRef idx="minor">
      <a:schemeClr val="dk1"/>
    </cs:fontRef>
    <cs:spPr>
      <a:ln w="9525" cap="rnd">
        <a:solidFill>
          <a:schemeClr val="dk1">
            <a:lumMod val="35000"/>
            <a:lumOff val="65000"/>
          </a:schemeClr>
        </a:solidFill>
        <a:round/>
      </a:ln>
    </cs:spPr>
  </cs:seriesLine>
  <cs:title>
    <cs:lnRef idx="0"/>
    <cs:fillRef idx="0"/>
    <cs:effectRef idx="0"/>
    <cs:fontRef idx="minor">
      <a:schemeClr val="dk1">
        <a:lumMod val="50000"/>
        <a:lumOff val="50000"/>
      </a:schemeClr>
    </cs:fontRef>
    <cs:defRPr sz="1400" kern="1200" cap="none" spc="20" baseline="0"/>
  </cs:title>
  <cs:trendline>
    <cs:lnRef idx="0">
      <cs:styleClr val="auto"/>
    </cs:lnRef>
    <cs:fillRef idx="0"/>
    <cs:effectRef idx="0"/>
    <cs:fontRef idx="minor">
      <a:schemeClr val="dk1"/>
    </cs:fontRef>
    <cs:spPr>
      <a:ln w="9525" cap="rnd">
        <a:solidFill>
          <a:schemeClr val="phClr"/>
        </a:solidFill>
      </a:ln>
    </cs:spPr>
  </cs:trendline>
  <cs:trendlineLabel>
    <cs:lnRef idx="0"/>
    <cs:fillRef idx="0"/>
    <cs:effectRef idx="0"/>
    <cs:fontRef idx="minor">
      <a:schemeClr val="dk1">
        <a:lumMod val="65000"/>
        <a:lumOff val="35000"/>
      </a:schemeClr>
    </cs:fontRef>
    <cs:defRPr sz="900" kern="1200"/>
  </cs:trendlineLabel>
  <cs:upBar>
    <cs:lnRef idx="0"/>
    <cs:fillRef idx="0"/>
    <cs:effectRef idx="0"/>
    <cs:fontRef idx="minor">
      <a:schemeClr val="dk1"/>
    </cs:fontRef>
    <cs:spPr>
      <a:solidFill>
        <a:schemeClr val="lt1"/>
      </a:solidFill>
    </cs:spPr>
  </cs:upBar>
  <cs:valueAxis>
    <cs:lnRef idx="0"/>
    <cs:fillRef idx="0"/>
    <cs:effectRef idx="0"/>
    <cs:fontRef idx="minor">
      <a:schemeClr val="dk1">
        <a:lumMod val="65000"/>
        <a:lumOff val="35000"/>
      </a:schemeClr>
    </cs:fontRef>
    <cs:spPr>
      <a:ln w="9525" cap="rnd">
        <a:solidFill>
          <a:schemeClr val="dk1">
            <a:lumMod val="25000"/>
            <a:lumOff val="75000"/>
          </a:schemeClr>
        </a:solidFill>
        <a:round/>
      </a:ln>
    </cs:spPr>
    <cs:defRPr sz="900" kern="1200" spc="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3" Type="http://schemas.openxmlformats.org/officeDocument/2006/relationships/image" Target="../media/image1.png"/><Relationship Id="rId2" Type="http://schemas.openxmlformats.org/officeDocument/2006/relationships/chart" Target="../charts/chart2.xml"/><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4</xdr:col>
      <xdr:colOff>14654</xdr:colOff>
      <xdr:row>3</xdr:row>
      <xdr:rowOff>14654</xdr:rowOff>
    </xdr:from>
    <xdr:to>
      <xdr:col>9</xdr:col>
      <xdr:colOff>1338648</xdr:colOff>
      <xdr:row>26</xdr:row>
      <xdr:rowOff>180203</xdr:rowOff>
    </xdr:to>
    <xdr:graphicFrame macro="">
      <xdr:nvGraphicFramePr>
        <xdr:cNvPr id="2" name="Chart 1">
          <a:extLst>
            <a:ext uri="{FF2B5EF4-FFF2-40B4-BE49-F238E27FC236}">
              <a16:creationId xmlns:a16="http://schemas.microsoft.com/office/drawing/2014/main" id="{0D657B74-404C-48C7-A2B1-8FC2DC271AD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11</xdr:col>
      <xdr:colOff>65332</xdr:colOff>
      <xdr:row>3</xdr:row>
      <xdr:rowOff>2358</xdr:rowOff>
    </xdr:from>
    <xdr:to>
      <xdr:col>17</xdr:col>
      <xdr:colOff>1371523</xdr:colOff>
      <xdr:row>26</xdr:row>
      <xdr:rowOff>193074</xdr:rowOff>
    </xdr:to>
    <xdr:graphicFrame macro="">
      <xdr:nvGraphicFramePr>
        <xdr:cNvPr id="6" name="Chart 5">
          <a:extLst>
            <a:ext uri="{FF2B5EF4-FFF2-40B4-BE49-F238E27FC236}">
              <a16:creationId xmlns:a16="http://schemas.microsoft.com/office/drawing/2014/main" id="{0073FC56-2836-40F3-AC74-8E4A82C66FF4}"/>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editAs="oneCell">
    <xdr:from>
      <xdr:col>5</xdr:col>
      <xdr:colOff>1073581</xdr:colOff>
      <xdr:row>0</xdr:row>
      <xdr:rowOff>29029</xdr:rowOff>
    </xdr:from>
    <xdr:to>
      <xdr:col>9</xdr:col>
      <xdr:colOff>1193800</xdr:colOff>
      <xdr:row>2</xdr:row>
      <xdr:rowOff>105252</xdr:rowOff>
    </xdr:to>
    <xdr:pic>
      <xdr:nvPicPr>
        <xdr:cNvPr id="8" name="Picture 7">
          <a:extLst>
            <a:ext uri="{FF2B5EF4-FFF2-40B4-BE49-F238E27FC236}">
              <a16:creationId xmlns:a16="http://schemas.microsoft.com/office/drawing/2014/main" id="{71870CFB-5EBC-49FC-A585-9366AF2EDAB5}"/>
            </a:ext>
          </a:extLst>
        </xdr:cNvPr>
        <xdr:cNvPicPr>
          <a:picLocks noChangeAspect="1" noChangeArrowheads="1"/>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8693581" y="29029"/>
          <a:ext cx="5657419" cy="83822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66675</xdr:colOff>
      <xdr:row>3</xdr:row>
      <xdr:rowOff>9524</xdr:rowOff>
    </xdr:from>
    <xdr:to>
      <xdr:col>17</xdr:col>
      <xdr:colOff>9525</xdr:colOff>
      <xdr:row>31</xdr:row>
      <xdr:rowOff>27374</xdr:rowOff>
    </xdr:to>
    <xdr:sp macro="" textlink="">
      <xdr:nvSpPr>
        <xdr:cNvPr id="2" name="Rectangle 1">
          <a:extLst>
            <a:ext uri="{FF2B5EF4-FFF2-40B4-BE49-F238E27FC236}">
              <a16:creationId xmlns:a16="http://schemas.microsoft.com/office/drawing/2014/main" id="{8230572B-CFE7-43FA-BAC1-4CB40829BA96}"/>
            </a:ext>
          </a:extLst>
        </xdr:cNvPr>
        <xdr:cNvSpPr/>
      </xdr:nvSpPr>
      <xdr:spPr>
        <a:xfrm>
          <a:off x="66675" y="819149"/>
          <a:ext cx="10306050" cy="5351850"/>
        </a:xfrm>
        <a:prstGeom prst="rect">
          <a:avLst/>
        </a:prstGeom>
      </xdr:spPr>
      <xdr:txBody>
        <a:bodyPr wrap="square">
          <a:spAutoFit/>
        </a:bodyPr>
        <a:lstStyle>
          <a:defPPr>
            <a:defRPr lang="en-US"/>
          </a:defPPr>
          <a:lvl1pPr algn="l" rtl="0" fontAlgn="base">
            <a:spcBef>
              <a:spcPct val="0"/>
            </a:spcBef>
            <a:spcAft>
              <a:spcPct val="0"/>
            </a:spcAft>
            <a:defRPr kern="1200">
              <a:solidFill>
                <a:schemeClr val="tx1"/>
              </a:solidFill>
              <a:latin typeface="Arial" charset="0"/>
              <a:ea typeface="+mn-ea"/>
              <a:cs typeface="+mn-cs"/>
            </a:defRPr>
          </a:lvl1pPr>
          <a:lvl2pPr marL="380895" algn="l" rtl="0" fontAlgn="base">
            <a:spcBef>
              <a:spcPct val="0"/>
            </a:spcBef>
            <a:spcAft>
              <a:spcPct val="0"/>
            </a:spcAft>
            <a:defRPr kern="1200">
              <a:solidFill>
                <a:schemeClr val="tx1"/>
              </a:solidFill>
              <a:latin typeface="Arial" charset="0"/>
              <a:ea typeface="+mn-ea"/>
              <a:cs typeface="+mn-cs"/>
            </a:defRPr>
          </a:lvl2pPr>
          <a:lvl3pPr marL="761790" algn="l" rtl="0" fontAlgn="base">
            <a:spcBef>
              <a:spcPct val="0"/>
            </a:spcBef>
            <a:spcAft>
              <a:spcPct val="0"/>
            </a:spcAft>
            <a:defRPr kern="1200">
              <a:solidFill>
                <a:schemeClr val="tx1"/>
              </a:solidFill>
              <a:latin typeface="Arial" charset="0"/>
              <a:ea typeface="+mn-ea"/>
              <a:cs typeface="+mn-cs"/>
            </a:defRPr>
          </a:lvl3pPr>
          <a:lvl4pPr marL="1142683" algn="l" rtl="0" fontAlgn="base">
            <a:spcBef>
              <a:spcPct val="0"/>
            </a:spcBef>
            <a:spcAft>
              <a:spcPct val="0"/>
            </a:spcAft>
            <a:defRPr kern="1200">
              <a:solidFill>
                <a:schemeClr val="tx1"/>
              </a:solidFill>
              <a:latin typeface="Arial" charset="0"/>
              <a:ea typeface="+mn-ea"/>
              <a:cs typeface="+mn-cs"/>
            </a:defRPr>
          </a:lvl4pPr>
          <a:lvl5pPr marL="1523573" algn="l" rtl="0" fontAlgn="base">
            <a:spcBef>
              <a:spcPct val="0"/>
            </a:spcBef>
            <a:spcAft>
              <a:spcPct val="0"/>
            </a:spcAft>
            <a:defRPr kern="1200">
              <a:solidFill>
                <a:schemeClr val="tx1"/>
              </a:solidFill>
              <a:latin typeface="Arial" charset="0"/>
              <a:ea typeface="+mn-ea"/>
              <a:cs typeface="+mn-cs"/>
            </a:defRPr>
          </a:lvl5pPr>
          <a:lvl6pPr marL="1904467" algn="l" defTabSz="761790" rtl="0" eaLnBrk="1" latinLnBrk="0" hangingPunct="1">
            <a:defRPr kern="1200">
              <a:solidFill>
                <a:schemeClr val="tx1"/>
              </a:solidFill>
              <a:latin typeface="Arial" charset="0"/>
              <a:ea typeface="+mn-ea"/>
              <a:cs typeface="+mn-cs"/>
            </a:defRPr>
          </a:lvl6pPr>
          <a:lvl7pPr marL="2285362" algn="l" defTabSz="761790" rtl="0" eaLnBrk="1" latinLnBrk="0" hangingPunct="1">
            <a:defRPr kern="1200">
              <a:solidFill>
                <a:schemeClr val="tx1"/>
              </a:solidFill>
              <a:latin typeface="Arial" charset="0"/>
              <a:ea typeface="+mn-ea"/>
              <a:cs typeface="+mn-cs"/>
            </a:defRPr>
          </a:lvl7pPr>
          <a:lvl8pPr marL="2666253" algn="l" defTabSz="761790" rtl="0" eaLnBrk="1" latinLnBrk="0" hangingPunct="1">
            <a:defRPr kern="1200">
              <a:solidFill>
                <a:schemeClr val="tx1"/>
              </a:solidFill>
              <a:latin typeface="Arial" charset="0"/>
              <a:ea typeface="+mn-ea"/>
              <a:cs typeface="+mn-cs"/>
            </a:defRPr>
          </a:lvl8pPr>
          <a:lvl9pPr marL="3047146" algn="l" defTabSz="761790" rtl="0" eaLnBrk="1" latinLnBrk="0" hangingPunct="1">
            <a:defRPr kern="1200">
              <a:solidFill>
                <a:schemeClr val="tx1"/>
              </a:solidFill>
              <a:latin typeface="Arial" charset="0"/>
              <a:ea typeface="+mn-ea"/>
              <a:cs typeface="+mn-cs"/>
            </a:defRPr>
          </a:lvl9pPr>
        </a:lstStyle>
        <a:p>
          <a:r>
            <a:rPr lang="en-US" sz="1600" b="1">
              <a:solidFill>
                <a:srgbClr val="333333"/>
              </a:solidFill>
              <a:latin typeface="Calibri" panose="020F0502020204030204" pitchFamily="34" charset="0"/>
            </a:rPr>
            <a:t>Important notice and disclaimer</a:t>
          </a:r>
        </a:p>
        <a:p>
          <a:endParaRPr lang="en-US" sz="1600">
            <a:solidFill>
              <a:srgbClr val="555555"/>
            </a:solidFill>
            <a:latin typeface="Calibri" panose="020F0502020204030204" pitchFamily="34" charset="0"/>
          </a:endParaRPr>
        </a:p>
        <a:p>
          <a:r>
            <a:rPr lang="en-US" sz="1600">
              <a:solidFill>
                <a:srgbClr val="555555"/>
              </a:solidFill>
              <a:latin typeface="Calibri" panose="020F0502020204030204" pitchFamily="34" charset="0"/>
            </a:rPr>
            <a:t>TI PROVIDES TECHNICAL AND RELIABILITY DATA (INCLUDING DATASHEETS), DESIGN RESOURCES (INCLUDING REFERENCE DESIGNS), APPLICATION OR OTHER DESIGN ADVICE, WEB TOOLS, SAFETY INFORMATION, AND OTHER RESOURCES “AS IS” AND WITH ALL FAULTS, AND DISCLAIMS ALL WARRANTIES, EXPRESS AND IMPLIED, INCLUDING WITHOUT LIMITATION ANY IMPLIED WARRANTIES OF MERCHANTABILITY, FITNESS FOR A PARTICULAR PURPOSE OR NON-INFRINGEMENT OF THIRD PARTY INTELLECTUAL PROPERTY RIGHTS.</a:t>
          </a:r>
        </a:p>
        <a:p>
          <a:endParaRPr lang="en-US" sz="1600">
            <a:solidFill>
              <a:srgbClr val="555555"/>
            </a:solidFill>
            <a:latin typeface="Calibri" panose="020F0502020204030204" pitchFamily="34" charset="0"/>
          </a:endParaRPr>
        </a:p>
        <a:p>
          <a:r>
            <a:rPr lang="en-US" sz="1600">
              <a:solidFill>
                <a:srgbClr val="555555"/>
              </a:solidFill>
              <a:latin typeface="Calibri" panose="020F0502020204030204" pitchFamily="34" charset="0"/>
            </a:rPr>
            <a:t>These resources are intended for skilled developers designing with TI products. You are solely responsible for (1) selecting the appropriate TI products for your application, (2) designing, validating and testing your application, and (3) ensuring your application meets applicable standards, and any other safety, security, or other requirements.</a:t>
          </a:r>
        </a:p>
        <a:p>
          <a:endParaRPr lang="en-US" sz="1600">
            <a:solidFill>
              <a:srgbClr val="555555"/>
            </a:solidFill>
            <a:latin typeface="Calibri" panose="020F0502020204030204" pitchFamily="34" charset="0"/>
          </a:endParaRPr>
        </a:p>
        <a:p>
          <a:r>
            <a:rPr lang="en-US" sz="1600">
              <a:solidFill>
                <a:srgbClr val="555555"/>
              </a:solidFill>
              <a:latin typeface="Calibri" panose="020F0502020204030204" pitchFamily="34" charset="0"/>
            </a:rPr>
            <a:t>These resources are subject to change without notice. TI grants you permission to use these resources only for development of an application that uses the TI products described in the resource. Other reproduction and display of these resources is prohibited. No license is granted to any other TI intellectual property right or to any third party intellectual property right. TI disclaims responsibility for, and you will fully indemnify TI and its representatives against, any claims, damages, costs, losses, and liabilities arising out of your use of these resources.</a:t>
          </a:r>
        </a:p>
        <a:p>
          <a:endParaRPr lang="en-US" sz="1600">
            <a:solidFill>
              <a:srgbClr val="555555"/>
            </a:solidFill>
            <a:latin typeface="Calibri" panose="020F0502020204030204" pitchFamily="34" charset="0"/>
          </a:endParaRPr>
        </a:p>
        <a:p>
          <a:r>
            <a:rPr lang="en-US" sz="1600">
              <a:solidFill>
                <a:srgbClr val="555555"/>
              </a:solidFill>
              <a:latin typeface="Calibri" panose="020F0502020204030204" pitchFamily="34" charset="0"/>
            </a:rPr>
            <a:t>TI’s products are provided subject to </a:t>
          </a:r>
          <a:r>
            <a:rPr lang="en-US" sz="1600">
              <a:solidFill>
                <a:srgbClr val="AA6666"/>
              </a:solidFill>
              <a:latin typeface="Calibri" panose="020F0502020204030204" pitchFamily="34" charset="0"/>
            </a:rPr>
            <a:t>TI’s Terms of Sale</a:t>
          </a:r>
          <a:r>
            <a:rPr lang="en-US" sz="1600">
              <a:solidFill>
                <a:srgbClr val="555555"/>
              </a:solidFill>
              <a:latin typeface="Calibri" panose="020F0502020204030204" pitchFamily="34" charset="0"/>
            </a:rPr>
            <a:t> or other applicable terms available either on ti.com or provided in conjunction with such TI products. TI’s provision of these resources does not expand or otherwise alter TI’s applicable warranties or warranty disclaimers for TI products.</a:t>
          </a:r>
          <a:endParaRPr lang="en-US" sz="1600" b="0" i="0">
            <a:solidFill>
              <a:srgbClr val="555555"/>
            </a:solidFill>
            <a:effectLst/>
            <a:latin typeface="Calibri" panose="020F0502020204030204" pitchFamily="34" charset="0"/>
          </a:endParaRPr>
        </a:p>
      </xdr:txBody>
    </xdr:sp>
    <xdr:clientData/>
  </xdr:twoCellAnchor>
  <xdr:twoCellAnchor editAs="oneCell">
    <xdr:from>
      <xdr:col>12</xdr:col>
      <xdr:colOff>609599</xdr:colOff>
      <xdr:row>1</xdr:row>
      <xdr:rowOff>0</xdr:rowOff>
    </xdr:from>
    <xdr:to>
      <xdr:col>19</xdr:col>
      <xdr:colOff>447674</xdr:colOff>
      <xdr:row>4</xdr:row>
      <xdr:rowOff>232</xdr:rowOff>
    </xdr:to>
    <xdr:pic>
      <xdr:nvPicPr>
        <xdr:cNvPr id="3" name="Picture 2">
          <a:extLst>
            <a:ext uri="{FF2B5EF4-FFF2-40B4-BE49-F238E27FC236}">
              <a16:creationId xmlns:a16="http://schemas.microsoft.com/office/drawing/2014/main" id="{F279A38A-AB83-4958-B5E0-F8F4387AA49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924799" y="190500"/>
          <a:ext cx="4105275" cy="80985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Users/a0873821/Documents/Backup/INA851/INA851_Common_mode_Calculator/Calculator_October_2022/INA851_Input-Output_Range_Calc_prev5a_10-05-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A851_Vin_Vout_tool"/>
      <sheetName val="INA851_VinCM_vs_VoutDiff_Plot"/>
      <sheetName val="INA851 Specifications"/>
      <sheetName val="About"/>
      <sheetName val="Vin_Vout_tool_Calc"/>
      <sheetName val="E196_resistor_table"/>
      <sheetName val="VinCM_tool_calc"/>
      <sheetName val="FDA_BE_Calculations"/>
      <sheetName val="VICM_vs_VOUT_Plot_Calculations"/>
    </sheetNames>
    <sheetDataSet>
      <sheetData sheetId="0"/>
      <sheetData sheetId="1"/>
      <sheetData sheetId="2"/>
      <sheetData sheetId="3"/>
      <sheetData sheetId="4">
        <row r="9">
          <cell r="B9">
            <v>5</v>
          </cell>
        </row>
        <row r="10">
          <cell r="B10">
            <v>33</v>
          </cell>
        </row>
        <row r="11">
          <cell r="B11">
            <v>3</v>
          </cell>
        </row>
        <row r="12">
          <cell r="B12">
            <v>16.5</v>
          </cell>
        </row>
        <row r="14">
          <cell r="B14">
            <v>5</v>
          </cell>
        </row>
      </sheetData>
      <sheetData sheetId="5"/>
      <sheetData sheetId="6"/>
      <sheetData sheetId="7"/>
      <sheetData sheetId="8"/>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3CFF624E-B8B6-474D-A312-20F0F17E3A7B}" name="Table1" displayName="Table1" ref="E4:E6" totalsRowShown="0" headerRowDxfId="18" dataDxfId="17">
  <autoFilter ref="E4:E6" xr:uid="{279C723B-2E11-4BAE-AD50-E5BF701039C2}"/>
  <tableColumns count="1">
    <tableColumn id="1" xr3:uid="{88B403E7-E00F-4007-80D7-2CFE916EBE0F}" name="Column1" dataDxfId="16"/>
  </tableColumns>
  <tableStyleInfo name="TableStyleMedium2"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5FC5D75C-B420-4C82-89A7-38F103475D45}" name="Table2104" displayName="Table2104" ref="J14:U22" totalsRowShown="0" headerRowDxfId="15" headerRowBorderDxfId="14" tableBorderDxfId="13" totalsRowBorderDxfId="12">
  <autoFilter ref="J14:U22" xr:uid="{A7600108-0E39-41B4-AF10-DBA3505FF81B}"/>
  <tableColumns count="12">
    <tableColumn id="1" xr3:uid="{47C35EA8-94BF-4D6B-9402-5304D3BB417E}" name="PGA Gain (V/V)" dataDxfId="11" dataCellStyle="Input"/>
    <tableColumn id="13" xr3:uid="{32B95E70-6C20-46C8-88F3-4D0EB118BF26}" name="RTO Current_x000a_Eoflicker" dataDxfId="10">
      <calculatedColumnFormula>+S15*J15</calculatedColumnFormula>
    </tableColumn>
    <tableColumn id="12" xr3:uid="{55399B11-C42C-46DF-A000-836399671A26}" name="RTO Current_x000a_EBB" dataDxfId="9">
      <calculatedColumnFormula>+T15*J15</calculatedColumnFormula>
    </tableColumn>
    <tableColumn id="2" xr3:uid="{440A66F6-B40B-407F-8031-E6E9D25F4D5D}" name="RTO Enflicker (µVRMS)" dataDxfId="8" dataCellStyle="Input">
      <calculatedColumnFormula>'PGA855_Noise_Specs and Calc'!$B5*SQRT(0.2)*SQRT(LN(Sys_Noise_BW/0.2))/1000*J15</calculatedColumnFormula>
    </tableColumn>
    <tableColumn id="3" xr3:uid="{BE04D6F8-7083-4755-B3C0-7EC4EC8CE317}" name="RTO EnBB (µVRMS)" dataDxfId="7" dataCellStyle="Input">
      <calculatedColumnFormula>+'PGA855_Noise_Specs and Calc'!$C5*SQRT(Sys_Noise_BW)/1000*J15</calculatedColumnFormula>
    </tableColumn>
    <tableColumn id="4" xr3:uid="{34F3A53E-7FEB-4397-A071-7667420E7D79}" name="RTO Tot PGA855 Noise (µVRMS)" dataDxfId="6" dataCellStyle="Input">
      <calculatedColumnFormula>+SQRT(M15^2+N15^2+K15^2+L15^2)</calculatedColumnFormula>
    </tableColumn>
    <tableColumn id="5" xr3:uid="{6725903C-F444-46C2-89A1-5DB009182F4D}" name="System Noise RTO (µVRMS)" dataDxfId="5" dataCellStyle="Input">
      <calculatedColumnFormula>+SQRT(REF_Noise^2+ADC_Noise^2+O15^2+M26^2)</calculatedColumnFormula>
    </tableColumn>
    <tableColumn id="6" xr3:uid="{4349B778-D5D2-411C-97BD-419F4A83D976}" name="System SNR (dB)" dataDxfId="4" dataCellStyle="Input">
      <calculatedColumnFormula>20*LOG(FSR_rms/(P15/1000000))</calculatedColumnFormula>
    </tableColumn>
    <tableColumn id="7" xr3:uid="{C74F4729-B37D-43BB-9274-01B25A937B9B}" name="System Effective Resolution (Bits)" dataDxfId="3" dataCellStyle="Input">
      <calculatedColumnFormula>LOG(+FSR_pp/(P15*0.000001))/LOG(2)</calculatedColumnFormula>
    </tableColumn>
    <tableColumn id="10" xr3:uid="{09C918DA-2631-4A33-A077-486D68101274}" name="PGA855 Current_x000a_Eni flicker2" dataDxfId="2">
      <calculatedColumnFormula>SQRT(2*(iN_Flicker*Rin_Eq*0.000000000001)^2)*SQRT(0.1)*SQRT(LN(Sys_Noise_BW/0.1))*1000000</calculatedColumnFormula>
    </tableColumn>
    <tableColumn id="11" xr3:uid="{DAC41E7D-CD44-4D30-AD1D-B1C5C58C6BD1}" name="PGA855 Current_x000a_Eni BB_x000a_(µVRMS)" dataDxfId="1">
      <calculatedColumnFormula>+SQRT(2*(Rin_Eq*iN_BB*0.000000000001)^2)*SQRT(Sys_Noise_BW)*1000000</calculatedColumnFormula>
    </tableColumn>
    <tableColumn id="8" xr3:uid="{CF3E9E24-F64B-42FA-801D-ED4F59523032}" name="PGA855 RTI Enflicker (µVRMS)" dataDxfId="0" dataCellStyle="Input">
      <calculatedColumnFormula>'PGA855_Noise_Specs and Calc'!$B5*SQRT(0.2)*SQRT(LN(Sys_Noise_BW/0.2))/1000</calculatedColumnFormula>
    </tableColumn>
  </tableColumns>
  <tableStyleInfo name="TableStyleLight21"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C6F406-67C2-4203-87A3-654522F447AB}">
  <sheetPr codeName="Sheet1"/>
  <dimension ref="B2:O27"/>
  <sheetViews>
    <sheetView workbookViewId="0">
      <selection activeCell="B18" sqref="B18:F24"/>
    </sheetView>
  </sheetViews>
  <sheetFormatPr defaultRowHeight="15" x14ac:dyDescent="0.25"/>
  <cols>
    <col min="2" max="2" width="20.140625" customWidth="1"/>
    <col min="3" max="3" width="21.42578125" customWidth="1"/>
    <col min="4" max="4" width="19.28515625" customWidth="1"/>
    <col min="5" max="5" width="21.42578125" customWidth="1"/>
    <col min="6" max="6" width="19.85546875" customWidth="1"/>
    <col min="9" max="9" width="24.28515625" customWidth="1"/>
    <col min="11" max="11" width="17.85546875" customWidth="1"/>
    <col min="14" max="14" width="18.140625" customWidth="1"/>
    <col min="15" max="15" width="14.28515625" customWidth="1"/>
  </cols>
  <sheetData>
    <row r="2" spans="2:15" ht="15.75" thickBot="1" x14ac:dyDescent="0.3">
      <c r="C2" s="9" t="s">
        <v>1</v>
      </c>
    </row>
    <row r="3" spans="2:15" ht="21" x14ac:dyDescent="0.35">
      <c r="B3" s="10" t="s">
        <v>2</v>
      </c>
      <c r="C3" s="115" t="s">
        <v>3</v>
      </c>
      <c r="D3" s="115" t="s">
        <v>4</v>
      </c>
      <c r="E3" s="115" t="s">
        <v>5</v>
      </c>
      <c r="F3" s="115" t="s">
        <v>6</v>
      </c>
      <c r="I3" s="4" t="s">
        <v>0</v>
      </c>
      <c r="K3" s="4" t="s">
        <v>0</v>
      </c>
      <c r="N3" t="s">
        <v>7</v>
      </c>
      <c r="O3" t="s">
        <v>8</v>
      </c>
    </row>
    <row r="4" spans="2:15" ht="21.75" thickBot="1" x14ac:dyDescent="0.4">
      <c r="B4" s="11" t="s">
        <v>9</v>
      </c>
      <c r="C4" s="116"/>
      <c r="D4" s="116"/>
      <c r="E4" s="116"/>
      <c r="F4" s="116"/>
      <c r="I4" s="5" t="s">
        <v>10</v>
      </c>
      <c r="K4" s="5">
        <v>-118.45</v>
      </c>
    </row>
    <row r="5" spans="2:15" ht="21.75" thickBot="1" x14ac:dyDescent="0.4">
      <c r="B5" s="12">
        <v>0.25</v>
      </c>
      <c r="C5" s="13">
        <f t="shared" ref="C5:C10" si="0">4.096*10^(-0.2/20)/B5</f>
        <v>16.011054628140002</v>
      </c>
      <c r="D5" s="14">
        <v>109.03</v>
      </c>
      <c r="E5" s="15">
        <f>+MIN(I5, K5)</f>
        <v>-119.32</v>
      </c>
      <c r="F5" s="15">
        <f>+(N5-1.76)/(6.02)</f>
        <v>17.754427078355391</v>
      </c>
      <c r="I5" s="3">
        <v>-119.32</v>
      </c>
      <c r="K5" s="3">
        <v>-117.29</v>
      </c>
      <c r="N5" s="1">
        <f>-10*LOG(10^(-D5/10)+10^(+E5/10))</f>
        <v>108.64165101169945</v>
      </c>
    </row>
    <row r="6" spans="2:15" ht="21.75" thickBot="1" x14ac:dyDescent="0.4">
      <c r="B6" s="12">
        <v>0.5</v>
      </c>
      <c r="C6" s="13">
        <f t="shared" si="0"/>
        <v>8.005527314070001</v>
      </c>
      <c r="D6" s="16">
        <v>109.75</v>
      </c>
      <c r="E6" s="15">
        <f t="shared" ref="E6:E11" si="1">+MIN(I6, K6)</f>
        <v>-121.246</v>
      </c>
      <c r="F6" s="15">
        <f t="shared" ref="F6:F11" si="2">+(N6-1.76)/(6.02)</f>
        <v>17.889148470703702</v>
      </c>
      <c r="I6" s="2">
        <v>-119.54</v>
      </c>
      <c r="K6" s="2">
        <v>-121.246</v>
      </c>
      <c r="N6" s="1">
        <f t="shared" ref="N6:N11" si="3">-10*LOG(10^(-D6/10)+10^(+E6/10))</f>
        <v>109.45267379363628</v>
      </c>
    </row>
    <row r="7" spans="2:15" ht="21.75" thickBot="1" x14ac:dyDescent="0.4">
      <c r="B7" s="12">
        <v>1</v>
      </c>
      <c r="C7" s="13">
        <f t="shared" si="0"/>
        <v>4.0027636570350005</v>
      </c>
      <c r="D7" s="16">
        <v>109.63</v>
      </c>
      <c r="E7" s="15">
        <f t="shared" si="1"/>
        <v>-121.434</v>
      </c>
      <c r="F7" s="15">
        <f t="shared" si="2"/>
        <v>17.872490571331294</v>
      </c>
      <c r="I7" s="3">
        <v>-120.1999</v>
      </c>
      <c r="K7" s="3">
        <v>-121.434</v>
      </c>
      <c r="N7" s="1">
        <f t="shared" si="3"/>
        <v>109.35239323941438</v>
      </c>
    </row>
    <row r="8" spans="2:15" ht="21.75" thickBot="1" x14ac:dyDescent="0.4">
      <c r="B8" s="12">
        <v>2</v>
      </c>
      <c r="C8" s="13">
        <f t="shared" si="0"/>
        <v>2.0013818285175002</v>
      </c>
      <c r="D8" s="16">
        <v>109.59</v>
      </c>
      <c r="E8" s="15">
        <v>-121.4</v>
      </c>
      <c r="F8" s="15">
        <f t="shared" si="2"/>
        <v>17.865907728559272</v>
      </c>
      <c r="I8" s="2">
        <v>-118.9</v>
      </c>
      <c r="K8" s="2">
        <v>-120.7</v>
      </c>
      <c r="N8" s="1">
        <f t="shared" si="3"/>
        <v>109.31276452592681</v>
      </c>
    </row>
    <row r="9" spans="2:15" ht="21.75" thickBot="1" x14ac:dyDescent="0.4">
      <c r="B9" s="12">
        <v>4</v>
      </c>
      <c r="C9" s="13">
        <f t="shared" si="0"/>
        <v>1.0006909142587501</v>
      </c>
      <c r="D9" s="16">
        <v>107.4</v>
      </c>
      <c r="E9" s="15">
        <f t="shared" si="1"/>
        <v>-121.38</v>
      </c>
      <c r="F9" s="15">
        <f t="shared" si="2"/>
        <v>17.519882006489635</v>
      </c>
      <c r="I9" s="3">
        <v>-120.13</v>
      </c>
      <c r="K9" s="3">
        <v>-121.38</v>
      </c>
      <c r="N9" s="1">
        <f t="shared" si="3"/>
        <v>107.2296896790676</v>
      </c>
    </row>
    <row r="10" spans="2:15" ht="21.75" thickBot="1" x14ac:dyDescent="0.4">
      <c r="B10" s="12">
        <v>8</v>
      </c>
      <c r="C10" s="13">
        <f t="shared" si="0"/>
        <v>0.50034545712937506</v>
      </c>
      <c r="D10" s="16">
        <v>104.04</v>
      </c>
      <c r="E10" s="15">
        <v>-121.4</v>
      </c>
      <c r="F10" s="15">
        <f t="shared" si="2"/>
        <v>16.976904272035505</v>
      </c>
      <c r="I10" s="2">
        <v>-120.34</v>
      </c>
      <c r="K10" s="2">
        <v>-121.96</v>
      </c>
      <c r="N10" s="1">
        <f t="shared" si="3"/>
        <v>103.96096371765374</v>
      </c>
    </row>
    <row r="11" spans="2:15" ht="21.75" thickBot="1" x14ac:dyDescent="0.4">
      <c r="B11" s="12">
        <v>16</v>
      </c>
      <c r="C11" s="13">
        <f>4.096*10^(-0.2/20)/B11</f>
        <v>0.25017272856468753</v>
      </c>
      <c r="D11" s="16">
        <v>99.09</v>
      </c>
      <c r="E11" s="15">
        <f t="shared" si="1"/>
        <v>-117.04</v>
      </c>
      <c r="F11" s="15">
        <f t="shared" si="2"/>
        <v>16.156299700469166</v>
      </c>
      <c r="I11" s="3">
        <v>-115.744</v>
      </c>
      <c r="K11" s="3">
        <v>-117.04</v>
      </c>
      <c r="N11" s="1">
        <f t="shared" si="3"/>
        <v>99.020924196824382</v>
      </c>
    </row>
    <row r="12" spans="2:15" x14ac:dyDescent="0.25">
      <c r="B12" s="9"/>
    </row>
    <row r="15" spans="2:15" ht="15.75" thickBot="1" x14ac:dyDescent="0.3">
      <c r="C15" s="9" t="s">
        <v>11</v>
      </c>
    </row>
    <row r="16" spans="2:15" ht="21" x14ac:dyDescent="0.35">
      <c r="B16" s="10" t="s">
        <v>2</v>
      </c>
      <c r="C16" s="115" t="s">
        <v>3</v>
      </c>
      <c r="D16" s="115" t="s">
        <v>4</v>
      </c>
      <c r="E16" s="115" t="s">
        <v>5</v>
      </c>
      <c r="F16" s="115" t="s">
        <v>6</v>
      </c>
      <c r="I16" s="4" t="s">
        <v>0</v>
      </c>
      <c r="K16" s="4" t="s">
        <v>0</v>
      </c>
      <c r="M16" t="s">
        <v>12</v>
      </c>
      <c r="N16" t="s">
        <v>7</v>
      </c>
    </row>
    <row r="17" spans="2:14" ht="21.75" thickBot="1" x14ac:dyDescent="0.4">
      <c r="B17" s="11" t="s">
        <v>9</v>
      </c>
      <c r="C17" s="116"/>
      <c r="D17" s="116"/>
      <c r="E17" s="116"/>
      <c r="F17" s="116"/>
      <c r="I17" s="5" t="s">
        <v>10</v>
      </c>
      <c r="K17" s="6">
        <v>-115.2</v>
      </c>
    </row>
    <row r="18" spans="2:14" ht="21.75" thickBot="1" x14ac:dyDescent="0.4">
      <c r="B18" s="12">
        <v>0.25</v>
      </c>
      <c r="C18" s="13">
        <f t="shared" ref="C18:C23" si="4">4.096*10^(-0.2/20)/B18</f>
        <v>16.011054628140002</v>
      </c>
      <c r="D18" s="15">
        <v>107.5</v>
      </c>
      <c r="E18" s="15">
        <f>+MIN(I18, K18)</f>
        <v>-118.95</v>
      </c>
      <c r="F18" s="15">
        <f>+(N18-1.76)/(6.02)</f>
        <v>17.514886184420824</v>
      </c>
      <c r="I18" s="7">
        <v>-118.95</v>
      </c>
      <c r="K18" s="7">
        <v>-117.5</v>
      </c>
      <c r="M18" s="1">
        <f>+AVERAGE(I18,K18)</f>
        <v>-118.22499999999999</v>
      </c>
      <c r="N18" s="1">
        <f>-10*LOG(10^(-D18/10)+10^(+E18/10))</f>
        <v>107.19961483021336</v>
      </c>
    </row>
    <row r="19" spans="2:14" ht="21.75" thickBot="1" x14ac:dyDescent="0.4">
      <c r="B19" s="12">
        <v>0.5</v>
      </c>
      <c r="C19" s="13">
        <f t="shared" si="4"/>
        <v>8.005527314070001</v>
      </c>
      <c r="D19" s="15">
        <v>107.74</v>
      </c>
      <c r="E19" s="15">
        <v>-121.246</v>
      </c>
      <c r="F19" s="15">
        <f t="shared" ref="F19:F24" si="5">+(N19-1.76)/(6.02)</f>
        <v>17.573168101398633</v>
      </c>
      <c r="I19" s="8">
        <v>-119.8</v>
      </c>
      <c r="K19" s="8">
        <v>-123.31</v>
      </c>
      <c r="M19" s="1">
        <f t="shared" ref="M19:M24" si="6">+AVERAGE(I19,K19)</f>
        <v>-121.55500000000001</v>
      </c>
      <c r="N19" s="1">
        <f t="shared" ref="N19:N24" si="7">-10*LOG(10^(-D19/10)+10^(+E19/10))</f>
        <v>107.55047197041976</v>
      </c>
    </row>
    <row r="20" spans="2:14" ht="21.75" thickBot="1" x14ac:dyDescent="0.4">
      <c r="B20" s="12">
        <v>1</v>
      </c>
      <c r="C20" s="13">
        <f t="shared" si="4"/>
        <v>4.0027636570350005</v>
      </c>
      <c r="D20" s="15">
        <v>107.6</v>
      </c>
      <c r="E20" s="15">
        <v>-121.434</v>
      </c>
      <c r="F20" s="15">
        <f t="shared" si="5"/>
        <v>17.552156702409064</v>
      </c>
      <c r="I20" s="7">
        <v>-120.6</v>
      </c>
      <c r="K20" s="7">
        <v>-124.20699999999999</v>
      </c>
      <c r="M20" s="1">
        <f t="shared" si="6"/>
        <v>-122.40349999999999</v>
      </c>
      <c r="N20" s="1">
        <f t="shared" si="7"/>
        <v>107.42398334850257</v>
      </c>
    </row>
    <row r="21" spans="2:14" ht="21.75" thickBot="1" x14ac:dyDescent="0.4">
      <c r="B21" s="12">
        <v>2</v>
      </c>
      <c r="C21" s="13">
        <f t="shared" si="4"/>
        <v>2.0013818285175002</v>
      </c>
      <c r="D21" s="15">
        <v>107.01</v>
      </c>
      <c r="E21" s="15">
        <v>-121.4</v>
      </c>
      <c r="F21" s="15">
        <f t="shared" si="5"/>
        <v>17.457601588104026</v>
      </c>
      <c r="I21" s="8">
        <v>-118.02</v>
      </c>
      <c r="K21" s="8">
        <v>-123.17</v>
      </c>
      <c r="M21" s="1">
        <f t="shared" si="6"/>
        <v>-120.595</v>
      </c>
      <c r="N21" s="1">
        <f t="shared" si="7"/>
        <v>106.85476156038624</v>
      </c>
    </row>
    <row r="22" spans="2:14" ht="21.75" thickBot="1" x14ac:dyDescent="0.4">
      <c r="B22" s="12">
        <v>4</v>
      </c>
      <c r="C22" s="13">
        <f t="shared" si="4"/>
        <v>1.0006909142587501</v>
      </c>
      <c r="D22" s="15">
        <v>105.4</v>
      </c>
      <c r="E22" s="15">
        <v>-121.38</v>
      </c>
      <c r="F22" s="15">
        <f t="shared" si="5"/>
        <v>17.197967869626115</v>
      </c>
      <c r="I22" s="7">
        <v>-119.15</v>
      </c>
      <c r="K22" s="7">
        <v>-125.22</v>
      </c>
      <c r="M22" s="1">
        <f t="shared" si="6"/>
        <v>-122.185</v>
      </c>
      <c r="N22" s="1">
        <f t="shared" si="7"/>
        <v>105.29176657514921</v>
      </c>
    </row>
    <row r="23" spans="2:14" ht="21.75" thickBot="1" x14ac:dyDescent="0.4">
      <c r="B23" s="12">
        <v>8</v>
      </c>
      <c r="C23" s="13">
        <f t="shared" si="4"/>
        <v>0.50034545712937506</v>
      </c>
      <c r="D23" s="15">
        <v>101.65</v>
      </c>
      <c r="E23" s="15">
        <v>-121.4</v>
      </c>
      <c r="F23" s="15">
        <f t="shared" si="5"/>
        <v>16.585421782633603</v>
      </c>
      <c r="I23" s="8">
        <v>-119.85</v>
      </c>
      <c r="K23" s="8">
        <v>-120.426</v>
      </c>
      <c r="M23" s="1">
        <f t="shared" si="6"/>
        <v>-120.13800000000001</v>
      </c>
      <c r="N23" s="1">
        <f t="shared" si="7"/>
        <v>101.60423913145428</v>
      </c>
    </row>
    <row r="24" spans="2:14" ht="21.75" thickBot="1" x14ac:dyDescent="0.4">
      <c r="B24" s="12">
        <v>16</v>
      </c>
      <c r="C24" s="13">
        <f>4.096*10^(-0.2/20)/B24</f>
        <v>0.25017272856468753</v>
      </c>
      <c r="D24" s="15">
        <v>96.68</v>
      </c>
      <c r="E24" s="15">
        <v>-117.04</v>
      </c>
      <c r="F24" s="15">
        <f t="shared" si="5"/>
        <v>15.760831932711612</v>
      </c>
      <c r="I24" s="7">
        <v>-115.32</v>
      </c>
      <c r="K24" s="7">
        <v>-116.73</v>
      </c>
      <c r="M24" s="1">
        <f t="shared" si="6"/>
        <v>-116.02500000000001</v>
      </c>
      <c r="N24" s="1">
        <f t="shared" si="7"/>
        <v>96.640208234923904</v>
      </c>
    </row>
    <row r="27" spans="2:14" x14ac:dyDescent="0.25">
      <c r="M27" s="1">
        <f>+AVERAGE(M19:M23)</f>
        <v>-121.3753</v>
      </c>
    </row>
  </sheetData>
  <mergeCells count="8">
    <mergeCell ref="C3:C4"/>
    <mergeCell ref="D3:D4"/>
    <mergeCell ref="E3:E4"/>
    <mergeCell ref="F3:F4"/>
    <mergeCell ref="C16:C17"/>
    <mergeCell ref="D16:D17"/>
    <mergeCell ref="E16:E17"/>
    <mergeCell ref="F16:F17"/>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321282-E23A-428B-BC0C-954A12A84E27}">
  <sheetPr codeName="Sheet2">
    <pageSetUpPr autoPageBreaks="0"/>
  </sheetPr>
  <dimension ref="A1:S48"/>
  <sheetViews>
    <sheetView showGridLines="0" tabSelected="1" zoomScale="65" zoomScaleNormal="65" workbookViewId="0">
      <selection activeCell="B28" sqref="B28:B29"/>
    </sheetView>
  </sheetViews>
  <sheetFormatPr defaultRowHeight="15" x14ac:dyDescent="0.25"/>
  <cols>
    <col min="1" max="1" width="37.85546875" customWidth="1"/>
    <col min="2" max="2" width="33.85546875" customWidth="1"/>
    <col min="3" max="3" width="15.85546875" customWidth="1"/>
    <col min="4" max="4" width="5.85546875" customWidth="1"/>
    <col min="5" max="10" width="20.7109375" customWidth="1"/>
    <col min="11" max="11" width="3.7109375" customWidth="1"/>
    <col min="12" max="15" width="20.7109375" customWidth="1"/>
    <col min="16" max="16" width="3.5703125" customWidth="1"/>
    <col min="17" max="17" width="18.7109375" customWidth="1"/>
    <col min="18" max="18" width="25.42578125" customWidth="1"/>
    <col min="19" max="19" width="16.7109375" customWidth="1"/>
    <col min="20" max="21" width="20.7109375" customWidth="1"/>
  </cols>
  <sheetData>
    <row r="1" spans="1:19" ht="33.75" customHeight="1" x14ac:dyDescent="0.5">
      <c r="A1" s="148" t="s">
        <v>72</v>
      </c>
      <c r="B1" s="148"/>
      <c r="C1" s="148"/>
      <c r="D1" s="148"/>
      <c r="E1" s="148"/>
      <c r="F1" s="148"/>
      <c r="G1" s="148"/>
      <c r="L1" s="129" t="s">
        <v>119</v>
      </c>
      <c r="M1" s="129"/>
      <c r="N1" s="129"/>
      <c r="O1" s="129"/>
      <c r="P1" s="129"/>
      <c r="Q1" s="129"/>
      <c r="R1" s="129"/>
      <c r="S1" s="129"/>
    </row>
    <row r="2" spans="1:19" ht="26.25" x14ac:dyDescent="0.4">
      <c r="A2" s="168" t="s">
        <v>73</v>
      </c>
      <c r="B2" s="169"/>
      <c r="C2" s="169"/>
      <c r="D2" s="169"/>
      <c r="E2" s="169"/>
      <c r="F2" s="169"/>
      <c r="G2" s="170"/>
      <c r="L2" s="129"/>
      <c r="M2" s="129"/>
      <c r="N2" s="129"/>
      <c r="O2" s="129"/>
      <c r="P2" s="129"/>
      <c r="Q2" s="129"/>
      <c r="R2" s="129"/>
      <c r="S2" s="129"/>
    </row>
    <row r="3" spans="1:19" ht="15.75" customHeight="1" x14ac:dyDescent="0.5">
      <c r="A3" s="153" t="s">
        <v>107</v>
      </c>
      <c r="B3" s="154"/>
      <c r="C3" s="154"/>
      <c r="D3" s="55"/>
      <c r="E3" s="55"/>
      <c r="F3" s="55"/>
      <c r="G3" s="55"/>
      <c r="L3" s="129"/>
      <c r="M3" s="129"/>
      <c r="N3" s="129"/>
      <c r="O3" s="129"/>
      <c r="P3" s="129"/>
      <c r="Q3" s="129"/>
      <c r="R3" s="129"/>
      <c r="S3" s="129"/>
    </row>
    <row r="4" spans="1:19" ht="15.75" customHeight="1" thickBot="1" x14ac:dyDescent="0.55000000000000004">
      <c r="A4" s="155"/>
      <c r="B4" s="155"/>
      <c r="C4" s="155"/>
      <c r="D4" s="55"/>
      <c r="E4" s="55"/>
      <c r="F4" s="55"/>
      <c r="G4" s="55"/>
    </row>
    <row r="5" spans="1:19" ht="15.75" customHeight="1" thickTop="1" thickBot="1" x14ac:dyDescent="0.55000000000000004">
      <c r="A5" s="174" t="s">
        <v>121</v>
      </c>
      <c r="B5" s="176">
        <v>1100</v>
      </c>
      <c r="C5" s="178" t="s">
        <v>75</v>
      </c>
      <c r="D5" s="55"/>
      <c r="E5" s="55"/>
      <c r="F5" s="55"/>
      <c r="G5" s="55"/>
    </row>
    <row r="6" spans="1:19" ht="15.75" customHeight="1" thickTop="1" thickBot="1" x14ac:dyDescent="0.55000000000000004">
      <c r="A6" s="175"/>
      <c r="B6" s="177"/>
      <c r="C6" s="164"/>
      <c r="D6" s="55"/>
      <c r="E6" s="55"/>
      <c r="F6" s="55"/>
      <c r="G6" s="55"/>
    </row>
    <row r="7" spans="1:19" ht="15.75" customHeight="1" thickTop="1" thickBot="1" x14ac:dyDescent="0.55000000000000004">
      <c r="A7" s="165" t="s">
        <v>74</v>
      </c>
      <c r="B7" s="156">
        <v>0</v>
      </c>
      <c r="C7" s="164" t="s">
        <v>69</v>
      </c>
      <c r="D7" s="55"/>
      <c r="E7" s="55"/>
      <c r="F7" s="55"/>
      <c r="G7" s="55"/>
    </row>
    <row r="8" spans="1:19" ht="15.75" customHeight="1" thickTop="1" thickBot="1" x14ac:dyDescent="0.55000000000000004">
      <c r="A8" s="165"/>
      <c r="B8" s="157"/>
      <c r="C8" s="164"/>
      <c r="D8" s="55"/>
      <c r="E8" s="55"/>
      <c r="F8" s="55"/>
      <c r="G8" s="55"/>
    </row>
    <row r="9" spans="1:19" ht="15.75" customHeight="1" thickTop="1" x14ac:dyDescent="0.3">
      <c r="A9" s="153" t="s">
        <v>108</v>
      </c>
      <c r="B9" s="154"/>
      <c r="C9" s="154"/>
      <c r="D9" s="30"/>
      <c r="E9" s="30"/>
    </row>
    <row r="10" spans="1:19" ht="15.75" customHeight="1" thickBot="1" x14ac:dyDescent="0.35">
      <c r="A10" s="155"/>
      <c r="B10" s="155"/>
      <c r="C10" s="155"/>
      <c r="D10" s="30"/>
      <c r="E10" s="30"/>
    </row>
    <row r="11" spans="1:19" ht="15.75" customHeight="1" thickTop="1" thickBot="1" x14ac:dyDescent="0.35">
      <c r="A11" s="165" t="s">
        <v>82</v>
      </c>
      <c r="B11" s="172">
        <v>620000</v>
      </c>
      <c r="C11" s="164" t="s">
        <v>29</v>
      </c>
      <c r="D11" s="30"/>
      <c r="E11" s="30"/>
    </row>
    <row r="12" spans="1:19" ht="15.75" customHeight="1" thickTop="1" thickBot="1" x14ac:dyDescent="0.35">
      <c r="A12" s="165"/>
      <c r="B12" s="173"/>
      <c r="C12" s="164"/>
      <c r="D12" s="30"/>
      <c r="E12" s="31"/>
    </row>
    <row r="13" spans="1:19" ht="15.75" customHeight="1" thickTop="1" x14ac:dyDescent="0.3">
      <c r="A13" s="171" t="s">
        <v>76</v>
      </c>
      <c r="B13" s="156" t="s">
        <v>67</v>
      </c>
      <c r="C13" s="164" t="s">
        <v>69</v>
      </c>
      <c r="D13" s="30"/>
      <c r="E13" s="31"/>
    </row>
    <row r="14" spans="1:19" ht="15.75" customHeight="1" thickBot="1" x14ac:dyDescent="0.35">
      <c r="A14" s="165"/>
      <c r="B14" s="157"/>
      <c r="C14" s="164"/>
      <c r="D14" s="30"/>
      <c r="E14" s="30"/>
    </row>
    <row r="15" spans="1:19" ht="15.75" customHeight="1" thickTop="1" x14ac:dyDescent="0.3">
      <c r="A15" s="153" t="s">
        <v>110</v>
      </c>
      <c r="B15" s="154"/>
      <c r="C15" s="154"/>
      <c r="D15" s="30"/>
    </row>
    <row r="16" spans="1:19" ht="15.75" customHeight="1" thickBot="1" x14ac:dyDescent="0.35">
      <c r="A16" s="155"/>
      <c r="B16" s="155"/>
      <c r="C16" s="155"/>
      <c r="D16" s="30"/>
    </row>
    <row r="17" spans="1:19" ht="15.75" customHeight="1" thickTop="1" x14ac:dyDescent="0.3">
      <c r="A17" s="162" t="s">
        <v>103</v>
      </c>
      <c r="B17" s="163"/>
      <c r="C17" s="163"/>
      <c r="D17" s="30"/>
    </row>
    <row r="18" spans="1:19" ht="15.75" customHeight="1" thickBot="1" x14ac:dyDescent="0.35">
      <c r="A18" s="160" t="s">
        <v>100</v>
      </c>
      <c r="B18" s="156" t="s">
        <v>47</v>
      </c>
      <c r="C18" s="164"/>
      <c r="D18" s="30"/>
    </row>
    <row r="19" spans="1:19" ht="15.75" customHeight="1" thickTop="1" thickBot="1" x14ac:dyDescent="0.35">
      <c r="A19" s="160"/>
      <c r="B19" s="157"/>
      <c r="C19" s="164"/>
      <c r="D19" s="30"/>
    </row>
    <row r="20" spans="1:19" ht="15.75" customHeight="1" thickTop="1" x14ac:dyDescent="0.3">
      <c r="A20" s="163" t="s">
        <v>104</v>
      </c>
      <c r="B20" s="163"/>
      <c r="C20" s="163"/>
      <c r="D20" s="30"/>
    </row>
    <row r="21" spans="1:19" ht="15.75" customHeight="1" x14ac:dyDescent="0.25">
      <c r="A21" s="161" t="s">
        <v>101</v>
      </c>
      <c r="B21" s="156" t="s">
        <v>54</v>
      </c>
      <c r="C21" s="164"/>
    </row>
    <row r="22" spans="1:19" ht="15.75" customHeight="1" thickBot="1" x14ac:dyDescent="0.35">
      <c r="A22" s="160"/>
      <c r="B22" s="157"/>
      <c r="C22" s="164"/>
      <c r="D22" s="30"/>
    </row>
    <row r="23" spans="1:19" ht="15.75" customHeight="1" thickTop="1" x14ac:dyDescent="0.3">
      <c r="A23" s="163" t="s">
        <v>105</v>
      </c>
      <c r="B23" s="163"/>
      <c r="C23" s="163"/>
      <c r="D23" s="30"/>
    </row>
    <row r="24" spans="1:19" ht="15.75" customHeight="1" x14ac:dyDescent="0.3">
      <c r="A24" s="161" t="s">
        <v>102</v>
      </c>
      <c r="B24" s="158">
        <v>200</v>
      </c>
      <c r="C24" s="164" t="s">
        <v>28</v>
      </c>
      <c r="D24" s="30"/>
    </row>
    <row r="25" spans="1:19" ht="15.75" customHeight="1" thickBot="1" x14ac:dyDescent="0.35">
      <c r="A25" s="160"/>
      <c r="B25" s="159"/>
      <c r="C25" s="164"/>
      <c r="D25" s="30"/>
    </row>
    <row r="26" spans="1:19" ht="15.75" customHeight="1" thickTop="1" x14ac:dyDescent="0.3">
      <c r="A26" s="153" t="s">
        <v>109</v>
      </c>
      <c r="B26" s="154"/>
      <c r="C26" s="154"/>
      <c r="D26" s="30"/>
    </row>
    <row r="27" spans="1:19" ht="15.75" customHeight="1" thickBot="1" x14ac:dyDescent="0.35">
      <c r="A27" s="155"/>
      <c r="B27" s="155"/>
      <c r="C27" s="155"/>
      <c r="D27" s="30"/>
    </row>
    <row r="28" spans="1:19" ht="15.75" customHeight="1" thickTop="1" thickBot="1" x14ac:dyDescent="0.35">
      <c r="A28" s="165" t="s">
        <v>131</v>
      </c>
      <c r="B28" s="166" t="s">
        <v>136</v>
      </c>
      <c r="C28" s="164" t="s">
        <v>19</v>
      </c>
      <c r="D28" s="30"/>
    </row>
    <row r="29" spans="1:19" ht="15.75" customHeight="1" thickTop="1" thickBot="1" x14ac:dyDescent="0.35">
      <c r="A29" s="165"/>
      <c r="B29" s="167"/>
      <c r="C29" s="164"/>
      <c r="D29" s="30"/>
    </row>
    <row r="30" spans="1:19" ht="15.75" customHeight="1" thickTop="1" thickBot="1" x14ac:dyDescent="0.35">
      <c r="A30" s="125" t="s">
        <v>142</v>
      </c>
      <c r="B30" s="125"/>
      <c r="C30" s="125"/>
      <c r="D30" s="30"/>
    </row>
    <row r="31" spans="1:19" ht="15.75" customHeight="1" thickTop="1" x14ac:dyDescent="0.3">
      <c r="A31" s="184" t="s">
        <v>146</v>
      </c>
      <c r="B31" s="126">
        <v>5</v>
      </c>
      <c r="C31" s="184" t="s">
        <v>69</v>
      </c>
      <c r="D31" s="30"/>
      <c r="E31" s="136" t="s">
        <v>111</v>
      </c>
      <c r="F31" s="136"/>
      <c r="G31" s="136"/>
      <c r="H31" s="136"/>
      <c r="I31" s="136"/>
      <c r="L31" s="136" t="s">
        <v>117</v>
      </c>
      <c r="M31" s="146"/>
      <c r="N31" s="146"/>
      <c r="O31" s="111"/>
      <c r="Q31" s="136" t="s">
        <v>128</v>
      </c>
      <c r="R31" s="136"/>
      <c r="S31" s="136"/>
    </row>
    <row r="32" spans="1:19" ht="15.75" customHeight="1" thickBot="1" x14ac:dyDescent="0.35">
      <c r="A32" s="184"/>
      <c r="B32" s="126"/>
      <c r="C32" s="184"/>
      <c r="D32" s="30"/>
      <c r="E32" s="136"/>
      <c r="F32" s="136"/>
      <c r="G32" s="136"/>
      <c r="H32" s="136"/>
      <c r="I32" s="136"/>
      <c r="L32" s="147"/>
      <c r="M32" s="147"/>
      <c r="N32" s="147"/>
      <c r="O32" s="112"/>
      <c r="Q32" s="179"/>
      <c r="R32" s="179"/>
      <c r="S32" s="179"/>
    </row>
    <row r="33" spans="1:19" ht="15.75" customHeight="1" thickTop="1" x14ac:dyDescent="0.3">
      <c r="D33" s="30"/>
      <c r="E33" s="140" t="s">
        <v>83</v>
      </c>
      <c r="F33" s="140" t="s">
        <v>112</v>
      </c>
      <c r="G33" s="143" t="s">
        <v>113</v>
      </c>
      <c r="H33" s="137" t="s">
        <v>84</v>
      </c>
      <c r="I33" s="133" t="s">
        <v>114</v>
      </c>
      <c r="L33" s="140" t="s">
        <v>83</v>
      </c>
      <c r="M33" s="140" t="s">
        <v>115</v>
      </c>
      <c r="N33" s="140" t="s">
        <v>116</v>
      </c>
      <c r="O33" s="140" t="s">
        <v>125</v>
      </c>
      <c r="Q33" s="130" t="s">
        <v>122</v>
      </c>
      <c r="R33" s="140" t="s">
        <v>123</v>
      </c>
      <c r="S33" s="140" t="s">
        <v>127</v>
      </c>
    </row>
    <row r="34" spans="1:19" ht="15.75" customHeight="1" x14ac:dyDescent="0.3">
      <c r="A34" s="184" t="s">
        <v>147</v>
      </c>
      <c r="B34" s="181">
        <v>4.0960000000000001</v>
      </c>
      <c r="C34" s="184" t="s">
        <v>19</v>
      </c>
      <c r="D34" s="30"/>
      <c r="E34" s="141"/>
      <c r="F34" s="141"/>
      <c r="G34" s="144"/>
      <c r="H34" s="138"/>
      <c r="I34" s="134"/>
      <c r="L34" s="141"/>
      <c r="M34" s="141"/>
      <c r="N34" s="141"/>
      <c r="O34" s="141"/>
      <c r="Q34" s="131"/>
      <c r="R34" s="141"/>
      <c r="S34" s="141"/>
    </row>
    <row r="35" spans="1:19" ht="15.75" customHeight="1" x14ac:dyDescent="0.3">
      <c r="A35" s="184"/>
      <c r="B35" s="181"/>
      <c r="C35" s="184"/>
      <c r="D35" s="30"/>
      <c r="E35" s="141"/>
      <c r="F35" s="141"/>
      <c r="G35" s="144"/>
      <c r="H35" s="138"/>
      <c r="I35" s="134"/>
      <c r="L35" s="141"/>
      <c r="M35" s="141"/>
      <c r="N35" s="141"/>
      <c r="O35" s="141"/>
      <c r="Q35" s="131"/>
      <c r="R35" s="141"/>
      <c r="S35" s="141"/>
    </row>
    <row r="36" spans="1:19" ht="20.25" customHeight="1" thickBot="1" x14ac:dyDescent="0.35">
      <c r="D36" s="30"/>
      <c r="E36" s="142"/>
      <c r="F36" s="142"/>
      <c r="G36" s="145"/>
      <c r="H36" s="139"/>
      <c r="I36" s="135"/>
      <c r="L36" s="142"/>
      <c r="M36" s="142"/>
      <c r="N36" s="142"/>
      <c r="O36" s="142"/>
      <c r="Q36" s="132"/>
      <c r="R36" s="142"/>
      <c r="S36" s="142"/>
    </row>
    <row r="37" spans="1:19" ht="18.75" customHeight="1" thickTop="1" x14ac:dyDescent="0.3">
      <c r="A37" s="136" t="s">
        <v>118</v>
      </c>
      <c r="B37" s="146"/>
      <c r="C37" s="146"/>
      <c r="D37" s="30"/>
      <c r="E37" s="80">
        <v>0.125</v>
      </c>
      <c r="F37" s="78">
        <f>+$G37/E37</f>
        <v>69.190650746299312</v>
      </c>
      <c r="G37" s="81">
        <f>IF(ADC_Noise=FALSE,0,+'PGA855_Noise_Specs and Calc'!P15)</f>
        <v>8.648831343287414</v>
      </c>
      <c r="H37" s="85">
        <f t="shared" ref="H37:H44" si="0">20*LOG(FSR_rms/($G37/1000000))</f>
        <v>110.4977504382754</v>
      </c>
      <c r="I37" s="86">
        <f t="shared" ref="I37:I44" si="1">LOG(+FSR_pp/(G37*0.000001))/LOG(2)</f>
        <v>19.853279080137973</v>
      </c>
      <c r="L37" s="80">
        <v>0.125</v>
      </c>
      <c r="M37" s="78">
        <f>+'PGA855_Noise_Specs and Calc'!W15</f>
        <v>35.843541739940271</v>
      </c>
      <c r="N37" s="78">
        <f>+'PGA855_Noise_Specs and Calc'!P15</f>
        <v>8.648831343287414</v>
      </c>
      <c r="O37" s="78">
        <f>+'PGA855_Noise_Specs and Calc'!M26</f>
        <v>0.16037927275600292</v>
      </c>
      <c r="Q37" s="78">
        <f>+'PGA855_Noise_Specs and Calc'!N26</f>
        <v>4.2563818672670806</v>
      </c>
      <c r="R37" s="78">
        <f>+'PGA855_Noise_Specs and Calc'!O26</f>
        <v>6.0194329633280246</v>
      </c>
      <c r="S37" s="78">
        <f>+'PGA855_Noise_Specs and Calc'!P26</f>
        <v>1.2830341820480236</v>
      </c>
    </row>
    <row r="38" spans="1:19" ht="18.75" customHeight="1" thickBot="1" x14ac:dyDescent="0.35">
      <c r="A38" s="147"/>
      <c r="B38" s="147"/>
      <c r="C38" s="147"/>
      <c r="D38" s="30"/>
      <c r="E38" s="92">
        <v>0.25</v>
      </c>
      <c r="F38" s="93">
        <f t="shared" ref="F38:F44" si="2">+$G38/E38</f>
        <v>34.613271899434665</v>
      </c>
      <c r="G38" s="94">
        <f>IF(ADC_Noise=FALSE,0,+'PGA855_Noise_Specs and Calc'!P16)</f>
        <v>8.6533179748586662</v>
      </c>
      <c r="H38" s="95">
        <f t="shared" si="0"/>
        <v>110.49324575081359</v>
      </c>
      <c r="I38" s="96">
        <f t="shared" si="1"/>
        <v>19.852530867746065</v>
      </c>
      <c r="L38" s="107">
        <v>0.25</v>
      </c>
      <c r="M38" s="98">
        <f>+'PGA855_Noise_Specs and Calc'!W16</f>
        <v>17.921977917952681</v>
      </c>
      <c r="N38" s="98">
        <f>+'PGA855_Noise_Specs and Calc'!O16</f>
        <v>4.4804944794881703</v>
      </c>
      <c r="O38" s="98">
        <f>+'PGA855_Noise_Specs and Calc'!M27</f>
        <v>0.32075854551200583</v>
      </c>
      <c r="Q38" s="149" t="s">
        <v>129</v>
      </c>
    </row>
    <row r="39" spans="1:19" ht="19.5" customHeight="1" thickTop="1" x14ac:dyDescent="0.3">
      <c r="A39" s="141" t="s">
        <v>20</v>
      </c>
      <c r="B39" s="151">
        <f>IF(ADC="ADS127L11",Noise_L11,Noise_L21)</f>
        <v>5.53</v>
      </c>
      <c r="C39" s="164" t="s">
        <v>69</v>
      </c>
      <c r="D39" s="30"/>
      <c r="E39" s="82">
        <v>0.5</v>
      </c>
      <c r="F39" s="79">
        <f t="shared" si="2"/>
        <v>17.342482573326965</v>
      </c>
      <c r="G39" s="83">
        <f>IF(ADC_Noise=FALSE,0,+'PGA855_Noise_Specs and Calc'!P17)</f>
        <v>8.6712412866634825</v>
      </c>
      <c r="H39" s="87">
        <f t="shared" si="0"/>
        <v>110.47527358061549</v>
      </c>
      <c r="I39" s="88">
        <f t="shared" si="1"/>
        <v>19.849545754890709</v>
      </c>
      <c r="L39" s="82">
        <v>0.5</v>
      </c>
      <c r="M39" s="79">
        <f>+'PGA855_Noise_Specs and Calc'!W17</f>
        <v>8.9614030429821252</v>
      </c>
      <c r="N39" s="79">
        <f>+'PGA855_Noise_Specs and Calc'!O17</f>
        <v>4.4807015214910626</v>
      </c>
      <c r="O39" s="78">
        <f>+'PGA855_Noise_Specs and Calc'!M28</f>
        <v>0.64151709102401167</v>
      </c>
      <c r="Q39" s="143"/>
    </row>
    <row r="40" spans="1:19" ht="19.5" customHeight="1" thickBot="1" x14ac:dyDescent="0.35">
      <c r="A40" s="142"/>
      <c r="B40" s="152"/>
      <c r="C40" s="164"/>
      <c r="D40" s="30"/>
      <c r="E40" s="97">
        <v>1</v>
      </c>
      <c r="F40" s="98">
        <f t="shared" si="2"/>
        <v>8.8089088702310061</v>
      </c>
      <c r="G40" s="99">
        <f>IF(ADC_Noise=FALSE,0,+'PGA855_Noise_Specs and Calc'!P18)</f>
        <v>8.8089088702310061</v>
      </c>
      <c r="H40" s="100">
        <f>20*LOG(FSR_rms/($G40/1000000))</f>
        <v>110.33845665963916</v>
      </c>
      <c r="I40" s="101">
        <f t="shared" si="1"/>
        <v>19.826820956208348</v>
      </c>
      <c r="L40" s="97">
        <v>1</v>
      </c>
      <c r="M40" s="98">
        <f>+'PGA855_Noise_Specs and Calc'!W18</f>
        <v>4.6096099209110664</v>
      </c>
      <c r="N40" s="98">
        <f>+'PGA855_Noise_Specs and Calc'!O18</f>
        <v>4.6096099209110664</v>
      </c>
      <c r="O40" s="98">
        <f>+'PGA855_Noise_Specs and Calc'!M29</f>
        <v>1.2830341820480233</v>
      </c>
      <c r="Q40" s="150"/>
    </row>
    <row r="41" spans="1:19" ht="19.5" customHeight="1" thickTop="1" x14ac:dyDescent="0.3">
      <c r="A41" s="141" t="s">
        <v>18</v>
      </c>
      <c r="B41" s="151">
        <f>IF(ADC="ADS127L11",BW_L11,BW_L21)</f>
        <v>45432.35918845675</v>
      </c>
      <c r="C41" s="164" t="s">
        <v>29</v>
      </c>
      <c r="D41" s="30"/>
      <c r="E41" s="84">
        <v>2</v>
      </c>
      <c r="F41" s="79">
        <f t="shared" si="2"/>
        <v>4.7493735125309513</v>
      </c>
      <c r="G41" s="83">
        <f>IF(ADC_Noise=FALSE,0,+'PGA855_Noise_Specs and Calc'!P19)</f>
        <v>9.4987470250619026</v>
      </c>
      <c r="H41" s="87">
        <f t="shared" si="0"/>
        <v>109.68357257270702</v>
      </c>
      <c r="I41" s="88">
        <f t="shared" si="1"/>
        <v>19.718047063844619</v>
      </c>
      <c r="L41" s="84">
        <v>2</v>
      </c>
      <c r="M41" s="79">
        <f>+'PGA855_Noise_Specs and Calc'!W19</f>
        <v>2.6897626776417773</v>
      </c>
      <c r="N41" s="79">
        <f>+'PGA855_Noise_Specs and Calc'!O19</f>
        <v>5.3795253552835547</v>
      </c>
      <c r="O41" s="78">
        <f>+'PGA855_Noise_Specs and Calc'!M30</f>
        <v>2.5660683640960467</v>
      </c>
      <c r="Q41" s="78">
        <f>+'PGA855_Noise_Specs and Calc'!L26</f>
        <v>1.2830341820480233</v>
      </c>
    </row>
    <row r="42" spans="1:19" ht="19.5" customHeight="1" thickBot="1" x14ac:dyDescent="0.35">
      <c r="A42" s="142"/>
      <c r="B42" s="152"/>
      <c r="C42" s="164"/>
      <c r="D42" s="30"/>
      <c r="E42" s="97">
        <v>4</v>
      </c>
      <c r="F42" s="98">
        <f t="shared" si="2"/>
        <v>2.9051904234869408</v>
      </c>
      <c r="G42" s="99">
        <f>IF(ADC_Noise=FALSE,0,+'PGA855_Noise_Specs and Calc'!P20)</f>
        <v>11.620761693947763</v>
      </c>
      <c r="H42" s="100">
        <f t="shared" si="0"/>
        <v>107.93220709802031</v>
      </c>
      <c r="I42" s="101">
        <f t="shared" si="1"/>
        <v>19.427151555105745</v>
      </c>
      <c r="L42" s="108">
        <v>4</v>
      </c>
      <c r="M42" s="93">
        <f>+'PGA855_Noise_Specs and Calc'!W20</f>
        <v>1.8371356747988206</v>
      </c>
      <c r="N42" s="93">
        <f>+'PGA855_Noise_Specs and Calc'!O20</f>
        <v>7.3485426991952822</v>
      </c>
      <c r="O42" s="98">
        <f>+'PGA855_Noise_Specs and Calc'!M31</f>
        <v>5.1321367281920933</v>
      </c>
    </row>
    <row r="43" spans="1:19" ht="19.5" customHeight="1" thickTop="1" x14ac:dyDescent="0.3">
      <c r="A43" s="141" t="s">
        <v>79</v>
      </c>
      <c r="B43" s="151">
        <f>IF(ADC="ADS127L11",FCLK_L11,FCLK_L21)</f>
        <v>25.6</v>
      </c>
      <c r="C43" s="164" t="s">
        <v>42</v>
      </c>
      <c r="D43" s="30"/>
      <c r="E43" s="84">
        <v>8</v>
      </c>
      <c r="F43" s="79">
        <f t="shared" si="2"/>
        <v>2.3284848200469943</v>
      </c>
      <c r="G43" s="83">
        <f>IF(ADC_Noise=FALSE,0,+'PGA855_Noise_Specs and Calc'!P21)</f>
        <v>18.627878560375954</v>
      </c>
      <c r="H43" s="87">
        <f t="shared" si="0"/>
        <v>103.83363104272246</v>
      </c>
      <c r="I43" s="88">
        <f t="shared" si="1"/>
        <v>18.746392807749416</v>
      </c>
      <c r="L43" s="84">
        <v>8</v>
      </c>
      <c r="M43" s="79">
        <f>+'PGA855_Noise_Specs and Calc'!W21</f>
        <v>1.7090766646602269</v>
      </c>
      <c r="N43" s="79">
        <f>+'PGA855_Noise_Specs and Calc'!O21</f>
        <v>13.672613317281815</v>
      </c>
      <c r="O43" s="78">
        <f>+'PGA855_Noise_Specs and Calc'!M32</f>
        <v>10.264273456384187</v>
      </c>
    </row>
    <row r="44" spans="1:19" ht="19.5" customHeight="1" thickBot="1" x14ac:dyDescent="0.35">
      <c r="A44" s="142"/>
      <c r="B44" s="152"/>
      <c r="C44" s="164"/>
      <c r="D44" s="30"/>
      <c r="E44" s="102">
        <v>16</v>
      </c>
      <c r="F44" s="103">
        <f t="shared" si="2"/>
        <v>2.1533412990795218</v>
      </c>
      <c r="G44" s="104">
        <f>IF(ADC_Noise=FALSE,0,+'PGA855_Noise_Specs and Calc'!P22)</f>
        <v>34.453460785272348</v>
      </c>
      <c r="H44" s="105">
        <f t="shared" si="0"/>
        <v>98.492241952758576</v>
      </c>
      <c r="I44" s="106">
        <f t="shared" si="1"/>
        <v>17.85920728356562</v>
      </c>
      <c r="L44" s="109">
        <v>16</v>
      </c>
      <c r="M44" s="110">
        <f>+'PGA855_Noise_Specs and Calc'!W22</f>
        <v>1.6664397943574085</v>
      </c>
      <c r="N44" s="110">
        <f>+'PGA855_Noise_Specs and Calc'!O22</f>
        <v>26.663036709718536</v>
      </c>
      <c r="O44" s="98">
        <f>+'PGA855_Noise_Specs and Calc'!M33</f>
        <v>20.528546912768373</v>
      </c>
    </row>
    <row r="45" spans="1:19" ht="19.5" customHeight="1" thickTop="1" x14ac:dyDescent="0.3">
      <c r="A45" s="180" t="s">
        <v>130</v>
      </c>
      <c r="B45" s="180"/>
      <c r="C45" s="180"/>
      <c r="D45" s="30"/>
      <c r="E45" s="117" t="s">
        <v>25</v>
      </c>
      <c r="F45" s="118"/>
      <c r="G45" s="127">
        <f>+IF(ADC_BW&lt;PGA_BW, ADC_BW, PGA_BW*IF(B13="1.57 (1st Order)", 1.57,IF(B13="1.22 (2nd Order)", 1.22)))</f>
        <v>45432.35918845675</v>
      </c>
      <c r="H45" s="123" t="s">
        <v>29</v>
      </c>
      <c r="L45" s="117" t="s">
        <v>145</v>
      </c>
      <c r="M45" s="118"/>
      <c r="N45" s="121">
        <f>REF_Noise</f>
        <v>4.91134351769138</v>
      </c>
      <c r="O45" s="123" t="s">
        <v>144</v>
      </c>
    </row>
    <row r="46" spans="1:19" ht="18.75" customHeight="1" thickBot="1" x14ac:dyDescent="0.35">
      <c r="A46" s="180"/>
      <c r="B46" s="180"/>
      <c r="C46" s="180"/>
      <c r="D46" s="30"/>
      <c r="E46" s="119"/>
      <c r="F46" s="120"/>
      <c r="G46" s="128"/>
      <c r="H46" s="124"/>
      <c r="L46" s="119"/>
      <c r="M46" s="120"/>
      <c r="N46" s="122"/>
      <c r="O46" s="124"/>
    </row>
    <row r="47" spans="1:19" ht="18.75" customHeight="1" thickTop="1" x14ac:dyDescent="0.3">
      <c r="A47" s="180"/>
      <c r="B47" s="180"/>
      <c r="C47" s="180"/>
      <c r="D47" s="30"/>
    </row>
    <row r="48" spans="1:19" ht="18.75" x14ac:dyDescent="0.3">
      <c r="A48" s="180"/>
      <c r="B48" s="180"/>
      <c r="C48" s="180"/>
      <c r="D48" s="30"/>
      <c r="E48" s="30"/>
    </row>
  </sheetData>
  <sheetProtection algorithmName="SHA-512" hashValue="XdnMf1bOy/0Rzu063QBCrcMMqS6EAyE9ASLuceouqUfmZGNDmcnXVFG4IgLLkIY6Yx05invtmdAoq3jzC51+QA==" saltValue="L04n2B0QlzOdL9HlRbS8eQ==" spinCount="100000" sheet="1" selectLockedCells="1"/>
  <mergeCells count="74">
    <mergeCell ref="S33:S36"/>
    <mergeCell ref="O33:O36"/>
    <mergeCell ref="Q31:S32"/>
    <mergeCell ref="R33:R36"/>
    <mergeCell ref="A45:C48"/>
    <mergeCell ref="A37:C38"/>
    <mergeCell ref="E33:E36"/>
    <mergeCell ref="C34:C35"/>
    <mergeCell ref="A34:A35"/>
    <mergeCell ref="B34:B35"/>
    <mergeCell ref="C43:C44"/>
    <mergeCell ref="C41:C42"/>
    <mergeCell ref="C39:C40"/>
    <mergeCell ref="A2:G2"/>
    <mergeCell ref="A11:A12"/>
    <mergeCell ref="A13:A14"/>
    <mergeCell ref="B11:B12"/>
    <mergeCell ref="B13:B14"/>
    <mergeCell ref="C13:C14"/>
    <mergeCell ref="C11:C12"/>
    <mergeCell ref="A5:A6"/>
    <mergeCell ref="B5:B6"/>
    <mergeCell ref="C5:C6"/>
    <mergeCell ref="A7:A8"/>
    <mergeCell ref="B7:B8"/>
    <mergeCell ref="A3:C4"/>
    <mergeCell ref="C7:C8"/>
    <mergeCell ref="A9:C10"/>
    <mergeCell ref="A26:C27"/>
    <mergeCell ref="C18:C19"/>
    <mergeCell ref="C21:C22"/>
    <mergeCell ref="C24:C25"/>
    <mergeCell ref="A28:A29"/>
    <mergeCell ref="B28:B29"/>
    <mergeCell ref="C28:C29"/>
    <mergeCell ref="A21:A22"/>
    <mergeCell ref="A24:A25"/>
    <mergeCell ref="B18:B19"/>
    <mergeCell ref="A17:C17"/>
    <mergeCell ref="A20:C20"/>
    <mergeCell ref="A23:C23"/>
    <mergeCell ref="Q38:Q40"/>
    <mergeCell ref="A41:A42"/>
    <mergeCell ref="B41:B42"/>
    <mergeCell ref="B39:B40"/>
    <mergeCell ref="A43:A44"/>
    <mergeCell ref="B43:B44"/>
    <mergeCell ref="A39:A40"/>
    <mergeCell ref="L1:S3"/>
    <mergeCell ref="Q33:Q36"/>
    <mergeCell ref="I33:I36"/>
    <mergeCell ref="E31:I32"/>
    <mergeCell ref="H33:H36"/>
    <mergeCell ref="F33:F36"/>
    <mergeCell ref="G33:G36"/>
    <mergeCell ref="L33:L36"/>
    <mergeCell ref="M33:M36"/>
    <mergeCell ref="N33:N36"/>
    <mergeCell ref="L31:N32"/>
    <mergeCell ref="A1:G1"/>
    <mergeCell ref="A15:C16"/>
    <mergeCell ref="B21:B22"/>
    <mergeCell ref="B24:B25"/>
    <mergeCell ref="A18:A19"/>
    <mergeCell ref="L45:M46"/>
    <mergeCell ref="N45:N46"/>
    <mergeCell ref="O45:O46"/>
    <mergeCell ref="A30:C30"/>
    <mergeCell ref="A31:A32"/>
    <mergeCell ref="B31:B32"/>
    <mergeCell ref="C31:C32"/>
    <mergeCell ref="E45:F46"/>
    <mergeCell ref="G45:G46"/>
    <mergeCell ref="H45:H46"/>
  </mergeCells>
  <conditionalFormatting sqref="A30">
    <cfRule type="expression" dxfId="25" priority="12">
      <formula>$B$28="OTHER"</formula>
    </cfRule>
  </conditionalFormatting>
  <conditionalFormatting sqref="B31:B32">
    <cfRule type="expression" dxfId="24" priority="7" stopIfTrue="1">
      <formula>$B$28="Other"</formula>
    </cfRule>
  </conditionalFormatting>
  <conditionalFormatting sqref="B34:B35">
    <cfRule type="expression" dxfId="23" priority="6" stopIfTrue="1">
      <formula>$B$28="Other"</formula>
    </cfRule>
  </conditionalFormatting>
  <conditionalFormatting sqref="C31:C32">
    <cfRule type="expression" dxfId="22" priority="5" stopIfTrue="1">
      <formula>$B$28="Other"</formula>
    </cfRule>
  </conditionalFormatting>
  <conditionalFormatting sqref="C34:C35">
    <cfRule type="expression" dxfId="21" priority="3" stopIfTrue="1">
      <formula>$B$28="Other"</formula>
    </cfRule>
  </conditionalFormatting>
  <conditionalFormatting sqref="A31:A32">
    <cfRule type="expression" dxfId="20" priority="2" stopIfTrue="1">
      <formula>$B$28="Other"</formula>
    </cfRule>
  </conditionalFormatting>
  <conditionalFormatting sqref="A34:A35">
    <cfRule type="expression" dxfId="19" priority="1" stopIfTrue="1">
      <formula>$B$28="Other"</formula>
    </cfRule>
  </conditionalFormatting>
  <dataValidations count="2">
    <dataValidation type="list" allowBlank="1" showInputMessage="1" showErrorMessage="1" sqref="B24" xr:uid="{E721C1CC-5211-4BB2-8617-47756CEC27E5}">
      <formula1>INDIRECT($B$21)</formula1>
    </dataValidation>
    <dataValidation type="list" showInputMessage="1" showErrorMessage="1" sqref="B21:B22" xr:uid="{F1B842F8-7E69-423F-A5E7-AFC2C180D534}">
      <formula1>INDIRECT(B18)</formula1>
    </dataValidation>
  </dataValidations>
  <pageMargins left="0.7" right="0.7" top="0.75" bottom="0.75" header="0.3" footer="0.3"/>
  <pageSetup orientation="portrait" r:id="rId1"/>
  <drawing r:id="rId2"/>
  <extLst>
    <ext xmlns:x14="http://schemas.microsoft.com/office/spreadsheetml/2009/9/main" uri="{CCE6A557-97BC-4b89-ADB6-D9C93CAAB3DF}">
      <x14:dataValidations xmlns:xm="http://schemas.microsoft.com/office/excel/2006/main" count="4">
        <x14:dataValidation type="list" allowBlank="1" showInputMessage="1" showErrorMessage="1" xr:uid="{BEEB602E-C050-4BA6-8505-4BBE368E63C8}">
          <x14:formula1>
            <xm:f>'PGA855_Noise_Specs and Calc'!$A$15:$A$16</xm:f>
          </x14:formula1>
          <xm:sqref>B18</xm:sqref>
        </x14:dataValidation>
        <x14:dataValidation type="list" allowBlank="1" showInputMessage="1" showErrorMessage="1" xr:uid="{67851EFE-BCB2-4B2E-B1E5-47609B3370EB}">
          <x14:formula1>
            <xm:f>'PGA855_Noise_Specs and Calc'!$E$5:$E$6</xm:f>
          </x14:formula1>
          <xm:sqref>B13:B14</xm:sqref>
        </x14:dataValidation>
        <x14:dataValidation type="list" allowBlank="1" showInputMessage="1" showErrorMessage="1" xr:uid="{6BF40075-920B-4430-BA7B-C9B8CAADA09A}">
          <x14:formula1>
            <xm:f>'PGA855_Noise_Specs and Calc'!$B$15:$B$16</xm:f>
          </x14:formula1>
          <xm:sqref>B34:B35</xm:sqref>
        </x14:dataValidation>
        <x14:dataValidation type="list" allowBlank="1" showInputMessage="1" showErrorMessage="1" xr:uid="{A7C3592B-D560-4E5D-9AC0-93F91022B2C9}">
          <x14:formula1>
            <xm:f>REF_Noise!$J$2:$J$4</xm:f>
          </x14:formula1>
          <xm:sqref>B28:B29</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B8930-64AE-41FA-9A3C-F3E6217DD7BA}">
  <dimension ref="A2:O8"/>
  <sheetViews>
    <sheetView showGridLines="0" workbookViewId="0">
      <selection activeCell="A3" sqref="A3"/>
    </sheetView>
  </sheetViews>
  <sheetFormatPr defaultRowHeight="15" x14ac:dyDescent="0.25"/>
  <sheetData>
    <row r="2" spans="1:15" ht="33.75" x14ac:dyDescent="0.5">
      <c r="A2" s="89" t="s">
        <v>72</v>
      </c>
      <c r="O2" s="90"/>
    </row>
    <row r="3" spans="1:15" x14ac:dyDescent="0.25">
      <c r="A3" t="s">
        <v>148</v>
      </c>
    </row>
    <row r="8" spans="1:15" x14ac:dyDescent="0.25">
      <c r="H8" s="91"/>
    </row>
  </sheetData>
  <sheetProtection algorithmName="SHA-512" hashValue="spltylRFPWTHEdb/I6A4BM9Yk7tOe8QABZlKj56hRvSvXOZQtPZdHWpHK/yCHEpRBB4uBzhBlbPEjUnbVGo+sQ==" saltValue="3MR0/aJFtCVA1x50o/yyRQ==" spinCount="100000" sheet="1" objects="1" scenarios="1" selectLockedCells="1" selectUnlockedCells="1"/>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8147C84-F59A-48A2-841D-C07FA0339EB0}">
  <sheetPr codeName="Sheet3"/>
  <dimension ref="A1:Q224"/>
  <sheetViews>
    <sheetView zoomScale="70" zoomScaleNormal="70" workbookViewId="0">
      <selection activeCell="I19" sqref="I19"/>
    </sheetView>
  </sheetViews>
  <sheetFormatPr defaultRowHeight="15" x14ac:dyDescent="0.25"/>
  <cols>
    <col min="1" max="1" width="20.85546875" customWidth="1"/>
    <col min="2" max="2" width="27.140625" customWidth="1"/>
    <col min="3" max="4" width="22.7109375" customWidth="1"/>
    <col min="5" max="5" width="41.28515625" customWidth="1"/>
    <col min="6" max="6" width="20.140625" customWidth="1"/>
    <col min="9" max="9" width="36.28515625" customWidth="1"/>
    <col min="10" max="10" width="26.7109375" customWidth="1"/>
    <col min="11" max="12" width="20.28515625" customWidth="1"/>
    <col min="13" max="13" width="16.7109375" customWidth="1"/>
    <col min="14" max="14" width="13.42578125" customWidth="1"/>
    <col min="15" max="15" width="19.85546875" customWidth="1"/>
    <col min="16" max="16" width="16.42578125" customWidth="1"/>
    <col min="17" max="17" width="16.140625" customWidth="1"/>
  </cols>
  <sheetData>
    <row r="1" spans="1:13" ht="60" x14ac:dyDescent="0.25">
      <c r="A1" t="s">
        <v>21</v>
      </c>
      <c r="B1" s="28" t="s">
        <v>56</v>
      </c>
      <c r="E1" s="27" t="s">
        <v>45</v>
      </c>
    </row>
    <row r="2" spans="1:13" x14ac:dyDescent="0.25">
      <c r="A2" t="s">
        <v>35</v>
      </c>
      <c r="B2" t="s">
        <v>33</v>
      </c>
      <c r="C2" s="26" t="s">
        <v>34</v>
      </c>
      <c r="D2" s="26" t="s">
        <v>37</v>
      </c>
      <c r="E2" s="26" t="s">
        <v>66</v>
      </c>
      <c r="F2" t="s">
        <v>38</v>
      </c>
    </row>
    <row r="3" spans="1:13" x14ac:dyDescent="0.25">
      <c r="A3" t="s">
        <v>36</v>
      </c>
      <c r="B3" t="s">
        <v>39</v>
      </c>
      <c r="C3">
        <v>32</v>
      </c>
      <c r="D3" s="21">
        <v>400</v>
      </c>
      <c r="E3" s="21">
        <f>+D3*0.4374*1000</f>
        <v>174960</v>
      </c>
      <c r="F3">
        <v>10.6</v>
      </c>
      <c r="G3" s="21"/>
      <c r="I3" t="s">
        <v>21</v>
      </c>
      <c r="J3" s="17" t="s">
        <v>48</v>
      </c>
      <c r="K3" s="17" t="s">
        <v>49</v>
      </c>
      <c r="L3" s="17" t="s">
        <v>50</v>
      </c>
      <c r="M3" s="17" t="s">
        <v>51</v>
      </c>
    </row>
    <row r="4" spans="1:13" ht="26.25" x14ac:dyDescent="0.25">
      <c r="A4" t="s">
        <v>36</v>
      </c>
      <c r="B4" t="s">
        <v>39</v>
      </c>
      <c r="C4">
        <f>+C3*2</f>
        <v>64</v>
      </c>
      <c r="D4" s="21">
        <f>+D3/2</f>
        <v>200</v>
      </c>
      <c r="E4" s="21">
        <f t="shared" ref="E4:E18" si="0">+D4*0.4374*1000</f>
        <v>87480</v>
      </c>
      <c r="F4">
        <v>7.47</v>
      </c>
      <c r="G4" s="21"/>
      <c r="I4" s="62" t="s">
        <v>48</v>
      </c>
      <c r="J4" s="21">
        <v>400</v>
      </c>
      <c r="K4" s="21">
        <v>50</v>
      </c>
      <c r="L4" s="21">
        <v>1066.6659999999999</v>
      </c>
      <c r="M4" s="21">
        <v>133.333</v>
      </c>
    </row>
    <row r="5" spans="1:13" ht="26.25" x14ac:dyDescent="0.25">
      <c r="A5" t="s">
        <v>36</v>
      </c>
      <c r="B5" t="s">
        <v>39</v>
      </c>
      <c r="C5">
        <f t="shared" ref="C5:C9" si="1">+C4*2</f>
        <v>128</v>
      </c>
      <c r="D5" s="21">
        <f t="shared" ref="D5:D10" si="2">+D4/2</f>
        <v>100</v>
      </c>
      <c r="E5" s="21">
        <f t="shared" si="0"/>
        <v>43740</v>
      </c>
      <c r="F5">
        <v>5.2</v>
      </c>
      <c r="G5" s="21"/>
      <c r="I5" s="62" t="s">
        <v>49</v>
      </c>
      <c r="J5" s="21">
        <v>200</v>
      </c>
      <c r="K5" s="21">
        <v>25</v>
      </c>
      <c r="L5" s="21">
        <v>800</v>
      </c>
      <c r="M5" s="21">
        <v>100</v>
      </c>
    </row>
    <row r="6" spans="1:13" ht="26.25" x14ac:dyDescent="0.25">
      <c r="A6" t="s">
        <v>36</v>
      </c>
      <c r="B6" t="s">
        <v>39</v>
      </c>
      <c r="C6">
        <f t="shared" si="1"/>
        <v>256</v>
      </c>
      <c r="D6" s="21">
        <f t="shared" si="2"/>
        <v>50</v>
      </c>
      <c r="E6" s="21">
        <f t="shared" si="0"/>
        <v>21870</v>
      </c>
      <c r="F6">
        <v>3.66</v>
      </c>
      <c r="G6" s="21"/>
      <c r="I6" s="62" t="s">
        <v>50</v>
      </c>
      <c r="J6" s="21">
        <v>100</v>
      </c>
      <c r="K6" s="21">
        <v>12.5</v>
      </c>
      <c r="L6" s="21">
        <v>533.33299999999997</v>
      </c>
      <c r="M6" s="21">
        <v>66.665999999999997</v>
      </c>
    </row>
    <row r="7" spans="1:13" ht="26.25" x14ac:dyDescent="0.25">
      <c r="A7" t="s">
        <v>36</v>
      </c>
      <c r="B7" t="s">
        <v>39</v>
      </c>
      <c r="C7">
        <f t="shared" si="1"/>
        <v>512</v>
      </c>
      <c r="D7" s="21">
        <f t="shared" si="2"/>
        <v>25</v>
      </c>
      <c r="E7" s="21">
        <f t="shared" si="0"/>
        <v>10935</v>
      </c>
      <c r="F7">
        <v>2.58</v>
      </c>
      <c r="G7" s="21"/>
      <c r="I7" s="62" t="s">
        <v>51</v>
      </c>
      <c r="J7" s="21">
        <v>50</v>
      </c>
      <c r="K7" s="21">
        <v>6.25</v>
      </c>
      <c r="L7" s="21">
        <v>400</v>
      </c>
      <c r="M7" s="21">
        <v>50</v>
      </c>
    </row>
    <row r="8" spans="1:13" x14ac:dyDescent="0.25">
      <c r="A8" t="s">
        <v>36</v>
      </c>
      <c r="B8" t="s">
        <v>39</v>
      </c>
      <c r="C8">
        <f t="shared" si="1"/>
        <v>1024</v>
      </c>
      <c r="D8" s="21">
        <f t="shared" si="2"/>
        <v>12.5</v>
      </c>
      <c r="E8" s="21">
        <f t="shared" si="0"/>
        <v>5467.5</v>
      </c>
      <c r="F8">
        <v>1.83</v>
      </c>
      <c r="G8" s="21"/>
      <c r="J8" s="21">
        <v>25</v>
      </c>
      <c r="K8" s="21">
        <v>3.125</v>
      </c>
      <c r="L8" s="21">
        <v>200</v>
      </c>
      <c r="M8" s="21">
        <v>25</v>
      </c>
    </row>
    <row r="9" spans="1:13" x14ac:dyDescent="0.25">
      <c r="A9" t="s">
        <v>36</v>
      </c>
      <c r="B9" t="s">
        <v>39</v>
      </c>
      <c r="C9">
        <f t="shared" si="1"/>
        <v>2048</v>
      </c>
      <c r="D9" s="21">
        <f t="shared" si="2"/>
        <v>6.25</v>
      </c>
      <c r="E9" s="21">
        <f t="shared" si="0"/>
        <v>2733.75</v>
      </c>
      <c r="F9">
        <v>1.29</v>
      </c>
      <c r="G9" s="21"/>
      <c r="J9" s="21">
        <v>12.5</v>
      </c>
      <c r="K9" s="21">
        <v>1.5625</v>
      </c>
      <c r="L9" s="21">
        <v>100</v>
      </c>
      <c r="M9" s="21">
        <v>12.5</v>
      </c>
    </row>
    <row r="10" spans="1:13" x14ac:dyDescent="0.25">
      <c r="A10" t="s">
        <v>36</v>
      </c>
      <c r="B10" t="s">
        <v>39</v>
      </c>
      <c r="C10">
        <f>+C9*2</f>
        <v>4096</v>
      </c>
      <c r="D10" s="21">
        <f t="shared" si="2"/>
        <v>3.125</v>
      </c>
      <c r="E10" s="21">
        <f t="shared" si="0"/>
        <v>1366.875</v>
      </c>
      <c r="F10">
        <v>0.92</v>
      </c>
      <c r="G10" s="21"/>
      <c r="J10" s="21">
        <v>6.25</v>
      </c>
      <c r="K10" s="21">
        <v>0.78125</v>
      </c>
      <c r="L10" s="21">
        <v>50</v>
      </c>
      <c r="M10" s="21">
        <v>6.25</v>
      </c>
    </row>
    <row r="11" spans="1:13" x14ac:dyDescent="0.25">
      <c r="A11" t="s">
        <v>36</v>
      </c>
      <c r="B11" t="s">
        <v>40</v>
      </c>
      <c r="C11">
        <v>32</v>
      </c>
      <c r="D11" s="21">
        <v>50</v>
      </c>
      <c r="E11" s="21">
        <f t="shared" si="0"/>
        <v>21870</v>
      </c>
      <c r="F11">
        <v>10.6</v>
      </c>
      <c r="J11" s="21">
        <v>3.125</v>
      </c>
      <c r="K11" s="21">
        <v>0.390625</v>
      </c>
      <c r="L11" s="21">
        <v>25</v>
      </c>
      <c r="M11" s="21">
        <v>3.125</v>
      </c>
    </row>
    <row r="12" spans="1:13" x14ac:dyDescent="0.25">
      <c r="A12" t="s">
        <v>36</v>
      </c>
      <c r="B12" t="s">
        <v>40</v>
      </c>
      <c r="C12">
        <f>+C11*2</f>
        <v>64</v>
      </c>
      <c r="D12" s="21">
        <f>+D11/2</f>
        <v>25</v>
      </c>
      <c r="E12" s="21">
        <f t="shared" si="0"/>
        <v>10935</v>
      </c>
      <c r="F12">
        <v>7.47</v>
      </c>
      <c r="G12" s="21"/>
      <c r="J12" s="21"/>
      <c r="K12" s="21"/>
      <c r="L12" s="21">
        <v>12.5</v>
      </c>
      <c r="M12" s="21">
        <v>1.5625</v>
      </c>
    </row>
    <row r="13" spans="1:13" x14ac:dyDescent="0.25">
      <c r="A13" t="s">
        <v>36</v>
      </c>
      <c r="B13" t="s">
        <v>40</v>
      </c>
      <c r="C13">
        <f t="shared" ref="C13:C17" si="3">+C12*2</f>
        <v>128</v>
      </c>
      <c r="D13" s="21">
        <f t="shared" ref="D13:D18" si="4">+D12/2</f>
        <v>12.5</v>
      </c>
      <c r="E13" s="21">
        <f t="shared" si="0"/>
        <v>5467.5</v>
      </c>
      <c r="F13">
        <v>5.2</v>
      </c>
      <c r="G13" s="21"/>
      <c r="J13" s="21"/>
      <c r="K13" s="21"/>
      <c r="L13" s="21">
        <v>6.25</v>
      </c>
      <c r="M13" s="21">
        <v>0.78125</v>
      </c>
    </row>
    <row r="14" spans="1:13" x14ac:dyDescent="0.25">
      <c r="A14" t="s">
        <v>36</v>
      </c>
      <c r="B14" t="s">
        <v>40</v>
      </c>
      <c r="C14">
        <f t="shared" si="3"/>
        <v>256</v>
      </c>
      <c r="D14" s="21">
        <f t="shared" si="4"/>
        <v>6.25</v>
      </c>
      <c r="E14" s="21">
        <f t="shared" si="0"/>
        <v>2733.75</v>
      </c>
      <c r="F14">
        <v>3.66</v>
      </c>
      <c r="G14" s="21"/>
      <c r="J14" s="21"/>
      <c r="K14" s="21"/>
      <c r="L14" s="21">
        <v>3.125</v>
      </c>
      <c r="M14" s="21">
        <v>0.390625</v>
      </c>
    </row>
    <row r="15" spans="1:13" x14ac:dyDescent="0.25">
      <c r="A15" t="s">
        <v>36</v>
      </c>
      <c r="B15" t="s">
        <v>40</v>
      </c>
      <c r="C15">
        <f t="shared" si="3"/>
        <v>512</v>
      </c>
      <c r="D15" s="21">
        <f t="shared" si="4"/>
        <v>3.125</v>
      </c>
      <c r="E15" s="21">
        <f t="shared" si="0"/>
        <v>1366.875</v>
      </c>
      <c r="F15">
        <v>2.58</v>
      </c>
      <c r="G15" s="21"/>
    </row>
    <row r="16" spans="1:13" x14ac:dyDescent="0.25">
      <c r="A16" t="s">
        <v>36</v>
      </c>
      <c r="B16" t="s">
        <v>40</v>
      </c>
      <c r="C16">
        <f t="shared" si="3"/>
        <v>1024</v>
      </c>
      <c r="D16" s="21">
        <f t="shared" si="4"/>
        <v>1.5625</v>
      </c>
      <c r="E16" s="21">
        <f t="shared" si="0"/>
        <v>683.4375</v>
      </c>
      <c r="F16">
        <v>1.83</v>
      </c>
      <c r="G16" s="21"/>
      <c r="J16" s="17"/>
      <c r="K16" s="17"/>
      <c r="L16" s="17"/>
      <c r="M16" s="17"/>
    </row>
    <row r="17" spans="1:17" x14ac:dyDescent="0.25">
      <c r="A17" t="s">
        <v>36</v>
      </c>
      <c r="B17" t="s">
        <v>40</v>
      </c>
      <c r="C17">
        <f t="shared" si="3"/>
        <v>2048</v>
      </c>
      <c r="D17" s="21">
        <f t="shared" si="4"/>
        <v>0.78125</v>
      </c>
      <c r="E17" s="21">
        <f t="shared" si="0"/>
        <v>341.71875</v>
      </c>
      <c r="F17">
        <v>1.29</v>
      </c>
      <c r="G17" s="21"/>
      <c r="I17" t="s">
        <v>47</v>
      </c>
      <c r="J17" s="17" t="s">
        <v>60</v>
      </c>
      <c r="K17" s="17" t="s">
        <v>52</v>
      </c>
      <c r="L17" s="17" t="s">
        <v>58</v>
      </c>
      <c r="M17" s="17" t="s">
        <v>53</v>
      </c>
      <c r="N17" s="17" t="s">
        <v>61</v>
      </c>
      <c r="O17" s="17" t="s">
        <v>54</v>
      </c>
      <c r="P17" s="17" t="s">
        <v>59</v>
      </c>
      <c r="Q17" s="17" t="s">
        <v>55</v>
      </c>
    </row>
    <row r="18" spans="1:17" ht="26.25" x14ac:dyDescent="0.25">
      <c r="A18" t="s">
        <v>36</v>
      </c>
      <c r="B18" t="s">
        <v>40</v>
      </c>
      <c r="C18">
        <f>+C17*2</f>
        <v>4096</v>
      </c>
      <c r="D18" s="21">
        <f t="shared" si="4"/>
        <v>0.390625</v>
      </c>
      <c r="E18" s="21">
        <f t="shared" si="0"/>
        <v>170.859375</v>
      </c>
      <c r="F18">
        <v>0.92</v>
      </c>
      <c r="G18" s="21"/>
      <c r="I18" s="62" t="s">
        <v>60</v>
      </c>
      <c r="J18" s="21">
        <v>512</v>
      </c>
      <c r="K18" s="21">
        <v>400</v>
      </c>
      <c r="L18" s="21">
        <v>200</v>
      </c>
      <c r="M18" s="21">
        <v>50</v>
      </c>
      <c r="N18" s="21">
        <v>1365.3</v>
      </c>
      <c r="O18" s="21">
        <f>+N18*25.6/32.768</f>
        <v>1066.640625</v>
      </c>
      <c r="P18" s="21">
        <v>533.3203125</v>
      </c>
      <c r="Q18" s="21">
        <f>N18*3.2/32.768</f>
        <v>133.330078125</v>
      </c>
    </row>
    <row r="19" spans="1:17" ht="26.25" x14ac:dyDescent="0.25">
      <c r="A19" t="s">
        <v>21</v>
      </c>
      <c r="B19" s="28" t="s">
        <v>57</v>
      </c>
      <c r="D19" s="21"/>
      <c r="E19" s="21"/>
      <c r="I19" s="62" t="s">
        <v>52</v>
      </c>
      <c r="J19" s="21">
        <f>+J18/2</f>
        <v>256</v>
      </c>
      <c r="K19" s="21">
        <v>200</v>
      </c>
      <c r="L19" s="21">
        <f>+L18/2</f>
        <v>100</v>
      </c>
      <c r="M19" s="21">
        <v>25</v>
      </c>
      <c r="N19" s="21">
        <v>1024</v>
      </c>
      <c r="O19" s="21">
        <f t="shared" ref="O19:O37" si="5">+N19*25.6/32.768</f>
        <v>800</v>
      </c>
      <c r="P19" s="21">
        <v>400</v>
      </c>
      <c r="Q19" s="21">
        <f t="shared" ref="Q19:Q37" si="6">N19*3.2/32.768</f>
        <v>100</v>
      </c>
    </row>
    <row r="20" spans="1:17" ht="26.25" x14ac:dyDescent="0.25">
      <c r="A20" t="s">
        <v>35</v>
      </c>
      <c r="B20" t="s">
        <v>33</v>
      </c>
      <c r="C20" s="26" t="s">
        <v>34</v>
      </c>
      <c r="D20" s="26" t="s">
        <v>37</v>
      </c>
      <c r="E20" s="26" t="s">
        <v>66</v>
      </c>
      <c r="F20" t="s">
        <v>38</v>
      </c>
      <c r="I20" s="62" t="s">
        <v>58</v>
      </c>
      <c r="J20" s="21">
        <f t="shared" ref="J20:L25" si="7">+J19/2</f>
        <v>128</v>
      </c>
      <c r="K20" s="21">
        <v>100</v>
      </c>
      <c r="L20" s="21">
        <f t="shared" si="7"/>
        <v>50</v>
      </c>
      <c r="M20" s="21">
        <v>12.5</v>
      </c>
      <c r="N20" s="21">
        <v>682.67</v>
      </c>
      <c r="O20" s="21">
        <f t="shared" si="5"/>
        <v>533.3359375</v>
      </c>
      <c r="P20" s="21">
        <v>266.66796875</v>
      </c>
      <c r="Q20" s="21">
        <f t="shared" si="6"/>
        <v>66.6669921875</v>
      </c>
    </row>
    <row r="21" spans="1:17" ht="26.25" x14ac:dyDescent="0.25">
      <c r="A21" t="s">
        <v>41</v>
      </c>
      <c r="B21" t="s">
        <v>39</v>
      </c>
      <c r="C21">
        <v>12</v>
      </c>
      <c r="D21" s="21">
        <v>1066.6659999999999</v>
      </c>
      <c r="E21" s="21">
        <v>242666</v>
      </c>
      <c r="F21">
        <v>76.3</v>
      </c>
      <c r="G21" s="21"/>
      <c r="I21" s="62" t="s">
        <v>53</v>
      </c>
      <c r="J21" s="21">
        <f t="shared" si="7"/>
        <v>64</v>
      </c>
      <c r="K21" s="21">
        <v>50</v>
      </c>
      <c r="L21" s="21">
        <f t="shared" si="7"/>
        <v>25</v>
      </c>
      <c r="M21" s="21">
        <v>6.25</v>
      </c>
      <c r="N21" s="21">
        <v>512</v>
      </c>
      <c r="O21" s="21">
        <f t="shared" si="5"/>
        <v>400</v>
      </c>
      <c r="P21" s="21">
        <v>200</v>
      </c>
      <c r="Q21" s="21">
        <f t="shared" si="6"/>
        <v>50</v>
      </c>
    </row>
    <row r="22" spans="1:17" ht="26.25" x14ac:dyDescent="0.25">
      <c r="A22" t="s">
        <v>41</v>
      </c>
      <c r="B22" t="s">
        <v>39</v>
      </c>
      <c r="C22">
        <v>16</v>
      </c>
      <c r="D22" s="21">
        <v>800</v>
      </c>
      <c r="E22" s="21">
        <v>182000</v>
      </c>
      <c r="F22">
        <v>27.3</v>
      </c>
      <c r="G22" s="21"/>
      <c r="I22" s="62" t="s">
        <v>61</v>
      </c>
      <c r="J22" s="21">
        <f t="shared" si="7"/>
        <v>32</v>
      </c>
      <c r="K22" s="21">
        <v>25</v>
      </c>
      <c r="L22" s="21">
        <f t="shared" si="7"/>
        <v>12.5</v>
      </c>
      <c r="M22" s="21">
        <v>3.125</v>
      </c>
      <c r="N22" s="21">
        <v>256</v>
      </c>
      <c r="O22" s="21">
        <f t="shared" si="5"/>
        <v>200</v>
      </c>
      <c r="P22" s="21">
        <v>100</v>
      </c>
      <c r="Q22" s="21">
        <f t="shared" si="6"/>
        <v>25</v>
      </c>
    </row>
    <row r="23" spans="1:17" ht="26.25" x14ac:dyDescent="0.25">
      <c r="A23" t="s">
        <v>41</v>
      </c>
      <c r="B23" t="s">
        <v>39</v>
      </c>
      <c r="C23">
        <v>24</v>
      </c>
      <c r="D23" s="21">
        <v>533.33299999999997</v>
      </c>
      <c r="E23" s="21">
        <v>121333</v>
      </c>
      <c r="F23">
        <v>10.4</v>
      </c>
      <c r="G23" s="21"/>
      <c r="I23" s="62" t="s">
        <v>54</v>
      </c>
      <c r="J23" s="21">
        <f t="shared" si="7"/>
        <v>16</v>
      </c>
      <c r="K23" s="21">
        <v>12.5</v>
      </c>
      <c r="L23" s="21">
        <f t="shared" si="7"/>
        <v>6.25</v>
      </c>
      <c r="M23" s="21">
        <v>1.5625</v>
      </c>
      <c r="N23" s="21">
        <v>128</v>
      </c>
      <c r="O23" s="21">
        <f t="shared" si="5"/>
        <v>100</v>
      </c>
      <c r="P23" s="21">
        <v>50</v>
      </c>
      <c r="Q23" s="21">
        <f t="shared" si="6"/>
        <v>12.5</v>
      </c>
    </row>
    <row r="24" spans="1:17" ht="26.25" x14ac:dyDescent="0.25">
      <c r="A24" t="s">
        <v>41</v>
      </c>
      <c r="B24" t="s">
        <v>39</v>
      </c>
      <c r="C24">
        <v>32</v>
      </c>
      <c r="D24" s="21">
        <v>400</v>
      </c>
      <c r="E24" s="21">
        <v>91000</v>
      </c>
      <c r="F24">
        <v>7.96</v>
      </c>
      <c r="G24" s="21"/>
      <c r="I24" s="62" t="s">
        <v>59</v>
      </c>
      <c r="J24" s="21">
        <f t="shared" si="7"/>
        <v>8</v>
      </c>
      <c r="K24" s="21">
        <v>6.25</v>
      </c>
      <c r="L24" s="21">
        <f t="shared" si="7"/>
        <v>3.125</v>
      </c>
      <c r="M24" s="21">
        <v>0.78125</v>
      </c>
      <c r="N24" s="21">
        <v>64</v>
      </c>
      <c r="O24" s="21">
        <f t="shared" si="5"/>
        <v>50</v>
      </c>
      <c r="P24" s="21">
        <v>38.323</v>
      </c>
      <c r="Q24" s="21">
        <f t="shared" si="6"/>
        <v>6.25</v>
      </c>
    </row>
    <row r="25" spans="1:17" ht="26.25" x14ac:dyDescent="0.25">
      <c r="A25" t="s">
        <v>41</v>
      </c>
      <c r="B25" t="s">
        <v>39</v>
      </c>
      <c r="C25">
        <f>+C24*2</f>
        <v>64</v>
      </c>
      <c r="D25" s="21">
        <f t="shared" ref="D25:D31" si="8">+D24/2</f>
        <v>200</v>
      </c>
      <c r="E25" s="21">
        <v>45500</v>
      </c>
      <c r="F25">
        <v>5.57</v>
      </c>
      <c r="G25" s="21"/>
      <c r="I25" s="62" t="s">
        <v>55</v>
      </c>
      <c r="J25" s="21">
        <f t="shared" si="7"/>
        <v>4</v>
      </c>
      <c r="K25" s="21">
        <v>3.125</v>
      </c>
      <c r="L25" s="21">
        <f t="shared" si="7"/>
        <v>1.5625</v>
      </c>
      <c r="M25" s="21">
        <v>0.390625</v>
      </c>
      <c r="N25" s="21">
        <v>49.201000000000001</v>
      </c>
      <c r="O25" s="21">
        <f t="shared" si="5"/>
        <v>38.438281250000003</v>
      </c>
      <c r="P25" s="21">
        <v>25</v>
      </c>
      <c r="Q25" s="21">
        <f t="shared" si="6"/>
        <v>4.8047851562500004</v>
      </c>
    </row>
    <row r="26" spans="1:17" x14ac:dyDescent="0.25">
      <c r="A26" t="s">
        <v>41</v>
      </c>
      <c r="B26" t="s">
        <v>39</v>
      </c>
      <c r="C26">
        <f t="shared" ref="C26:C30" si="9">+C25*2</f>
        <v>128</v>
      </c>
      <c r="D26" s="21">
        <f t="shared" si="8"/>
        <v>100</v>
      </c>
      <c r="E26" s="21">
        <v>22750</v>
      </c>
      <c r="F26">
        <v>3.9</v>
      </c>
      <c r="G26" s="21"/>
      <c r="J26" s="21"/>
      <c r="K26" s="21"/>
      <c r="L26" s="21"/>
      <c r="M26" s="21"/>
      <c r="N26" s="21">
        <v>32</v>
      </c>
      <c r="O26" s="21">
        <f t="shared" si="5"/>
        <v>25</v>
      </c>
      <c r="P26" s="21">
        <v>19.219000000000001</v>
      </c>
      <c r="Q26" s="21">
        <f t="shared" si="6"/>
        <v>3.125</v>
      </c>
    </row>
    <row r="27" spans="1:17" x14ac:dyDescent="0.25">
      <c r="A27" t="s">
        <v>41</v>
      </c>
      <c r="B27" t="s">
        <v>39</v>
      </c>
      <c r="C27">
        <f t="shared" si="9"/>
        <v>256</v>
      </c>
      <c r="D27" s="21">
        <f t="shared" si="8"/>
        <v>50</v>
      </c>
      <c r="E27" s="21">
        <v>11375</v>
      </c>
      <c r="F27">
        <v>2.8</v>
      </c>
      <c r="G27" s="21"/>
      <c r="J27" s="21"/>
      <c r="K27" s="21"/>
      <c r="L27" s="21"/>
      <c r="M27" s="21"/>
      <c r="N27" s="21">
        <v>24.564</v>
      </c>
      <c r="O27" s="21">
        <f t="shared" si="5"/>
        <v>19.190625000000001</v>
      </c>
      <c r="P27" s="21">
        <v>12.5</v>
      </c>
      <c r="Q27" s="21">
        <f t="shared" si="6"/>
        <v>2.3988281250000001</v>
      </c>
    </row>
    <row r="28" spans="1:17" x14ac:dyDescent="0.25">
      <c r="A28" t="s">
        <v>41</v>
      </c>
      <c r="B28" t="s">
        <v>39</v>
      </c>
      <c r="C28">
        <f t="shared" si="9"/>
        <v>512</v>
      </c>
      <c r="D28" s="21">
        <f t="shared" si="8"/>
        <v>25</v>
      </c>
      <c r="E28" s="21">
        <v>5687.5</v>
      </c>
      <c r="F28">
        <v>1.98</v>
      </c>
      <c r="G28" s="21"/>
      <c r="J28" s="21"/>
      <c r="K28" s="21"/>
      <c r="L28" s="21"/>
      <c r="M28" s="21"/>
      <c r="N28" s="21">
        <v>16</v>
      </c>
      <c r="O28" s="21">
        <f t="shared" si="5"/>
        <v>12.5</v>
      </c>
      <c r="P28" s="21">
        <v>9.5950000000000006</v>
      </c>
      <c r="Q28" s="21">
        <f t="shared" si="6"/>
        <v>1.5625</v>
      </c>
    </row>
    <row r="29" spans="1:17" x14ac:dyDescent="0.25">
      <c r="A29" t="s">
        <v>41</v>
      </c>
      <c r="B29" t="s">
        <v>39</v>
      </c>
      <c r="C29">
        <f t="shared" si="9"/>
        <v>1024</v>
      </c>
      <c r="D29" s="21">
        <f t="shared" si="8"/>
        <v>12.5</v>
      </c>
      <c r="E29" s="21">
        <v>2843.75</v>
      </c>
      <c r="F29">
        <v>1.4</v>
      </c>
      <c r="G29" s="21"/>
      <c r="J29" s="21"/>
      <c r="K29" s="21"/>
      <c r="L29" s="21"/>
      <c r="M29" s="21"/>
      <c r="N29" s="21">
        <v>12.291</v>
      </c>
      <c r="O29" s="21">
        <f t="shared" si="5"/>
        <v>9.6023437500000011</v>
      </c>
      <c r="P29" s="21">
        <v>6.25</v>
      </c>
      <c r="Q29" s="21">
        <f t="shared" si="6"/>
        <v>1.2002929687500001</v>
      </c>
    </row>
    <row r="30" spans="1:17" x14ac:dyDescent="0.25">
      <c r="A30" t="s">
        <v>41</v>
      </c>
      <c r="B30" t="s">
        <v>39</v>
      </c>
      <c r="C30">
        <f t="shared" si="9"/>
        <v>2048</v>
      </c>
      <c r="D30" s="21">
        <f t="shared" si="8"/>
        <v>6.25</v>
      </c>
      <c r="E30" s="21">
        <v>1421.875</v>
      </c>
      <c r="F30">
        <v>0.99</v>
      </c>
      <c r="G30" s="21"/>
      <c r="N30" s="21">
        <v>8</v>
      </c>
      <c r="O30" s="21">
        <f t="shared" si="5"/>
        <v>6.25</v>
      </c>
      <c r="P30" s="21">
        <v>1.29</v>
      </c>
      <c r="Q30" s="21">
        <f t="shared" si="6"/>
        <v>0.78125</v>
      </c>
    </row>
    <row r="31" spans="1:17" x14ac:dyDescent="0.25">
      <c r="A31" t="s">
        <v>41</v>
      </c>
      <c r="B31" t="s">
        <v>39</v>
      </c>
      <c r="C31">
        <f>+C30*2</f>
        <v>4096</v>
      </c>
      <c r="D31" s="21">
        <f t="shared" si="8"/>
        <v>3.125</v>
      </c>
      <c r="E31" s="21">
        <v>710.9375</v>
      </c>
      <c r="F31">
        <v>0.7</v>
      </c>
      <c r="G31" s="21"/>
      <c r="N31" s="21">
        <v>6.1429999999999998</v>
      </c>
      <c r="O31" s="21">
        <f t="shared" si="5"/>
        <v>4.7992187500000005</v>
      </c>
      <c r="P31" s="21">
        <v>3.125</v>
      </c>
      <c r="Q31" s="21">
        <f t="shared" si="6"/>
        <v>0.59990234375000007</v>
      </c>
    </row>
    <row r="32" spans="1:17" x14ac:dyDescent="0.25">
      <c r="A32" t="s">
        <v>41</v>
      </c>
      <c r="B32" t="s">
        <v>40</v>
      </c>
      <c r="C32">
        <v>12</v>
      </c>
      <c r="D32" s="21">
        <v>133.333</v>
      </c>
      <c r="E32">
        <v>30333</v>
      </c>
      <c r="F32">
        <v>76.3</v>
      </c>
      <c r="N32" s="21">
        <v>4</v>
      </c>
      <c r="O32" s="21">
        <f t="shared" si="5"/>
        <v>3.125</v>
      </c>
      <c r="P32" s="21">
        <v>2.4</v>
      </c>
      <c r="Q32" s="21">
        <f t="shared" si="6"/>
        <v>0.390625</v>
      </c>
    </row>
    <row r="33" spans="1:17" x14ac:dyDescent="0.25">
      <c r="A33" t="s">
        <v>41</v>
      </c>
      <c r="B33" t="s">
        <v>40</v>
      </c>
      <c r="C33">
        <v>16</v>
      </c>
      <c r="D33" s="21">
        <v>100</v>
      </c>
      <c r="E33">
        <v>22750</v>
      </c>
      <c r="F33">
        <v>27.3</v>
      </c>
      <c r="N33" s="21">
        <v>3.0720000000000001</v>
      </c>
      <c r="O33" s="21">
        <f t="shared" si="5"/>
        <v>2.4000000000000004</v>
      </c>
      <c r="P33" s="21">
        <v>1.5629999999999999</v>
      </c>
      <c r="Q33" s="21">
        <f t="shared" si="6"/>
        <v>0.30000000000000004</v>
      </c>
    </row>
    <row r="34" spans="1:17" x14ac:dyDescent="0.25">
      <c r="A34" t="s">
        <v>41</v>
      </c>
      <c r="B34" t="s">
        <v>40</v>
      </c>
      <c r="C34">
        <v>24</v>
      </c>
      <c r="D34" s="21">
        <v>66.665999999999997</v>
      </c>
      <c r="E34">
        <v>15166</v>
      </c>
      <c r="F34">
        <v>10.4</v>
      </c>
      <c r="N34" s="21">
        <v>0.61399999999999999</v>
      </c>
      <c r="O34" s="21">
        <f t="shared" si="5"/>
        <v>0.47968749999999999</v>
      </c>
      <c r="P34" s="21">
        <v>0.437</v>
      </c>
      <c r="Q34" s="21">
        <f t="shared" si="6"/>
        <v>5.9960937499999999E-2</v>
      </c>
    </row>
    <row r="35" spans="1:17" x14ac:dyDescent="0.25">
      <c r="A35" t="s">
        <v>41</v>
      </c>
      <c r="B35" t="s">
        <v>40</v>
      </c>
      <c r="C35">
        <v>32</v>
      </c>
      <c r="D35" s="21">
        <v>50</v>
      </c>
      <c r="E35" s="21">
        <v>11375</v>
      </c>
      <c r="F35">
        <v>7.96</v>
      </c>
      <c r="G35" s="21"/>
      <c r="N35" s="21">
        <v>0.51200000000000001</v>
      </c>
      <c r="O35" s="21">
        <f t="shared" si="5"/>
        <v>0.4</v>
      </c>
      <c r="P35" s="21">
        <v>0.4</v>
      </c>
      <c r="Q35" s="21">
        <f t="shared" si="6"/>
        <v>0.05</v>
      </c>
    </row>
    <row r="36" spans="1:17" x14ac:dyDescent="0.25">
      <c r="A36" t="s">
        <v>41</v>
      </c>
      <c r="B36" t="s">
        <v>40</v>
      </c>
      <c r="C36">
        <f>+C35*2</f>
        <v>64</v>
      </c>
      <c r="D36" s="21">
        <f>+D35/2</f>
        <v>25</v>
      </c>
      <c r="E36" s="21">
        <v>5687.5</v>
      </c>
      <c r="F36">
        <v>5.57</v>
      </c>
      <c r="G36" s="21"/>
      <c r="N36" s="21">
        <v>0.17066999999999999</v>
      </c>
      <c r="O36" s="21">
        <f t="shared" si="5"/>
        <v>0.1333359375</v>
      </c>
      <c r="P36" s="21">
        <v>0.13300000000000001</v>
      </c>
      <c r="Q36" s="21">
        <f t="shared" si="6"/>
        <v>1.66669921875E-2</v>
      </c>
    </row>
    <row r="37" spans="1:17" x14ac:dyDescent="0.25">
      <c r="A37" t="s">
        <v>41</v>
      </c>
      <c r="B37" t="s">
        <v>40</v>
      </c>
      <c r="C37">
        <f t="shared" ref="C37:C41" si="10">+C36*2</f>
        <v>128</v>
      </c>
      <c r="D37" s="21">
        <f t="shared" ref="D37:D42" si="11">+D36/2</f>
        <v>12.5</v>
      </c>
      <c r="E37" s="21">
        <v>2843.75</v>
      </c>
      <c r="F37">
        <v>3.9</v>
      </c>
      <c r="G37" s="21"/>
      <c r="N37" s="21">
        <v>0.10199999999999999</v>
      </c>
      <c r="O37" s="21">
        <f t="shared" si="5"/>
        <v>7.9687500000000008E-2</v>
      </c>
      <c r="P37" s="21">
        <v>0.08</v>
      </c>
      <c r="Q37" s="21">
        <f t="shared" si="6"/>
        <v>9.960937500000001E-3</v>
      </c>
    </row>
    <row r="38" spans="1:17" x14ac:dyDescent="0.25">
      <c r="A38" t="s">
        <v>41</v>
      </c>
      <c r="B38" t="s">
        <v>40</v>
      </c>
      <c r="C38">
        <f t="shared" si="10"/>
        <v>256</v>
      </c>
      <c r="D38" s="21">
        <f t="shared" si="11"/>
        <v>6.25</v>
      </c>
      <c r="E38" s="21">
        <v>1421.875</v>
      </c>
      <c r="F38">
        <v>2.8</v>
      </c>
      <c r="G38" s="21"/>
      <c r="N38" s="21"/>
    </row>
    <row r="39" spans="1:17" x14ac:dyDescent="0.25">
      <c r="A39" t="s">
        <v>41</v>
      </c>
      <c r="B39" t="s">
        <v>40</v>
      </c>
      <c r="C39">
        <f t="shared" si="10"/>
        <v>512</v>
      </c>
      <c r="D39" s="21">
        <f t="shared" si="11"/>
        <v>3.125</v>
      </c>
      <c r="E39" s="21">
        <v>710.9375</v>
      </c>
      <c r="F39">
        <v>1.98</v>
      </c>
      <c r="G39" s="21"/>
    </row>
    <row r="40" spans="1:17" x14ac:dyDescent="0.25">
      <c r="A40" t="s">
        <v>41</v>
      </c>
      <c r="B40" t="s">
        <v>40</v>
      </c>
      <c r="C40">
        <f t="shared" si="10"/>
        <v>1024</v>
      </c>
      <c r="D40" s="21">
        <f t="shared" si="11"/>
        <v>1.5625</v>
      </c>
      <c r="E40" s="21">
        <v>355.46875</v>
      </c>
      <c r="F40">
        <v>1.4</v>
      </c>
      <c r="G40" s="21"/>
    </row>
    <row r="41" spans="1:17" x14ac:dyDescent="0.25">
      <c r="A41" t="s">
        <v>41</v>
      </c>
      <c r="B41" t="s">
        <v>40</v>
      </c>
      <c r="C41">
        <f t="shared" si="10"/>
        <v>2048</v>
      </c>
      <c r="D41" s="21">
        <f t="shared" si="11"/>
        <v>0.78125</v>
      </c>
      <c r="E41" s="21">
        <v>177.734375</v>
      </c>
      <c r="F41">
        <v>0.99</v>
      </c>
      <c r="G41" s="21"/>
    </row>
    <row r="42" spans="1:17" x14ac:dyDescent="0.25">
      <c r="A42" t="s">
        <v>41</v>
      </c>
      <c r="B42" t="s">
        <v>40</v>
      </c>
      <c r="C42">
        <f>+C41*2</f>
        <v>4096</v>
      </c>
      <c r="D42" s="21">
        <f t="shared" si="11"/>
        <v>0.390625</v>
      </c>
      <c r="E42" s="21">
        <v>88.8671875</v>
      </c>
      <c r="F42">
        <v>0.7</v>
      </c>
      <c r="G42" s="21"/>
    </row>
    <row r="43" spans="1:17" x14ac:dyDescent="0.25">
      <c r="E43" s="21"/>
    </row>
    <row r="44" spans="1:17" x14ac:dyDescent="0.25">
      <c r="E44" s="21"/>
    </row>
    <row r="45" spans="1:17" x14ac:dyDescent="0.25">
      <c r="E45" s="21"/>
    </row>
    <row r="46" spans="1:17" x14ac:dyDescent="0.25">
      <c r="E46" s="21"/>
    </row>
    <row r="47" spans="1:17" x14ac:dyDescent="0.25">
      <c r="E47" s="21"/>
    </row>
    <row r="48" spans="1:17" x14ac:dyDescent="0.25">
      <c r="E48" s="21"/>
    </row>
    <row r="49" spans="5:5" x14ac:dyDescent="0.25">
      <c r="E49" s="21"/>
    </row>
    <row r="100" spans="1:6" ht="60" x14ac:dyDescent="0.25">
      <c r="A100" t="s">
        <v>47</v>
      </c>
      <c r="B100" s="28" t="s">
        <v>62</v>
      </c>
      <c r="E100" s="27" t="s">
        <v>45</v>
      </c>
    </row>
    <row r="101" spans="1:6" x14ac:dyDescent="0.25">
      <c r="A101" t="s">
        <v>35</v>
      </c>
      <c r="B101" t="s">
        <v>33</v>
      </c>
      <c r="C101" s="26" t="s">
        <v>34</v>
      </c>
      <c r="D101" s="26" t="s">
        <v>37</v>
      </c>
      <c r="E101" s="26" t="s">
        <v>66</v>
      </c>
      <c r="F101" t="s">
        <v>38</v>
      </c>
    </row>
    <row r="102" spans="1:6" x14ac:dyDescent="0.25">
      <c r="A102" t="s">
        <v>36</v>
      </c>
      <c r="B102" t="s">
        <v>63</v>
      </c>
      <c r="C102">
        <v>32</v>
      </c>
      <c r="D102" s="21">
        <v>512</v>
      </c>
      <c r="E102" s="21">
        <f>+D102*0.4374*1000</f>
        <v>223948.80000000002</v>
      </c>
      <c r="F102">
        <v>11.1</v>
      </c>
    </row>
    <row r="103" spans="1:6" x14ac:dyDescent="0.25">
      <c r="A103" t="s">
        <v>36</v>
      </c>
      <c r="B103" t="s">
        <v>63</v>
      </c>
      <c r="C103">
        <f>+C102*2</f>
        <v>64</v>
      </c>
      <c r="D103" s="21">
        <f>+D102/2</f>
        <v>256</v>
      </c>
      <c r="E103" s="21">
        <f t="shared" ref="E103:E133" si="12">+D103*0.4374*1000</f>
        <v>111974.40000000001</v>
      </c>
      <c r="F103">
        <v>7.64</v>
      </c>
    </row>
    <row r="104" spans="1:6" x14ac:dyDescent="0.25">
      <c r="A104" t="s">
        <v>36</v>
      </c>
      <c r="B104" t="s">
        <v>63</v>
      </c>
      <c r="C104">
        <f t="shared" ref="C104:C108" si="13">+C103*2</f>
        <v>128</v>
      </c>
      <c r="D104" s="21">
        <f t="shared" ref="D104:D109" si="14">+D103/2</f>
        <v>128</v>
      </c>
      <c r="E104" s="21">
        <f t="shared" si="12"/>
        <v>55987.200000000004</v>
      </c>
      <c r="F104">
        <v>5.34</v>
      </c>
    </row>
    <row r="105" spans="1:6" x14ac:dyDescent="0.25">
      <c r="A105" t="s">
        <v>36</v>
      </c>
      <c r="B105" t="s">
        <v>63</v>
      </c>
      <c r="C105">
        <f t="shared" si="13"/>
        <v>256</v>
      </c>
      <c r="D105" s="21">
        <f t="shared" si="14"/>
        <v>64</v>
      </c>
      <c r="E105" s="21">
        <f t="shared" si="12"/>
        <v>27993.600000000002</v>
      </c>
      <c r="F105">
        <v>3.79</v>
      </c>
    </row>
    <row r="106" spans="1:6" x14ac:dyDescent="0.25">
      <c r="A106" t="s">
        <v>36</v>
      </c>
      <c r="B106" t="s">
        <v>63</v>
      </c>
      <c r="C106">
        <f t="shared" si="13"/>
        <v>512</v>
      </c>
      <c r="D106" s="21">
        <f t="shared" si="14"/>
        <v>32</v>
      </c>
      <c r="E106" s="21">
        <f t="shared" si="12"/>
        <v>13996.800000000001</v>
      </c>
      <c r="F106">
        <v>2.71</v>
      </c>
    </row>
    <row r="107" spans="1:6" x14ac:dyDescent="0.25">
      <c r="A107" t="s">
        <v>36</v>
      </c>
      <c r="B107" t="s">
        <v>63</v>
      </c>
      <c r="C107">
        <f t="shared" si="13"/>
        <v>1024</v>
      </c>
      <c r="D107" s="21">
        <f t="shared" si="14"/>
        <v>16</v>
      </c>
      <c r="E107" s="21">
        <f t="shared" si="12"/>
        <v>6998.4000000000005</v>
      </c>
      <c r="F107">
        <v>1.88</v>
      </c>
    </row>
    <row r="108" spans="1:6" x14ac:dyDescent="0.25">
      <c r="A108" t="s">
        <v>36</v>
      </c>
      <c r="B108" t="s">
        <v>63</v>
      </c>
      <c r="C108">
        <f t="shared" si="13"/>
        <v>2048</v>
      </c>
      <c r="D108" s="21">
        <f t="shared" si="14"/>
        <v>8</v>
      </c>
      <c r="E108" s="21">
        <f t="shared" si="12"/>
        <v>3499.2000000000003</v>
      </c>
      <c r="F108">
        <v>1.34</v>
      </c>
    </row>
    <row r="109" spans="1:6" x14ac:dyDescent="0.25">
      <c r="A109" t="s">
        <v>36</v>
      </c>
      <c r="B109" t="s">
        <v>63</v>
      </c>
      <c r="C109">
        <f>+C108*2</f>
        <v>4096</v>
      </c>
      <c r="D109" s="21">
        <f t="shared" si="14"/>
        <v>4</v>
      </c>
      <c r="E109" s="21">
        <f t="shared" si="12"/>
        <v>1749.6000000000001</v>
      </c>
      <c r="F109">
        <v>0.96</v>
      </c>
    </row>
    <row r="110" spans="1:6" x14ac:dyDescent="0.25">
      <c r="A110" t="s">
        <v>36</v>
      </c>
      <c r="B110" t="s">
        <v>39</v>
      </c>
      <c r="C110">
        <v>32</v>
      </c>
      <c r="D110" s="21">
        <v>400</v>
      </c>
      <c r="E110" s="21">
        <f t="shared" si="12"/>
        <v>174960</v>
      </c>
      <c r="F110">
        <v>10.9</v>
      </c>
    </row>
    <row r="111" spans="1:6" x14ac:dyDescent="0.25">
      <c r="A111" t="s">
        <v>36</v>
      </c>
      <c r="B111" t="s">
        <v>39</v>
      </c>
      <c r="C111">
        <f>+C110*2</f>
        <v>64</v>
      </c>
      <c r="D111" s="21">
        <f>+D110/2</f>
        <v>200</v>
      </c>
      <c r="E111" s="21">
        <f t="shared" si="12"/>
        <v>87480</v>
      </c>
      <c r="F111">
        <v>7.5</v>
      </c>
    </row>
    <row r="112" spans="1:6" x14ac:dyDescent="0.25">
      <c r="A112" t="s">
        <v>36</v>
      </c>
      <c r="B112" t="s">
        <v>39</v>
      </c>
      <c r="C112">
        <f t="shared" ref="C112:C116" si="15">+C111*2</f>
        <v>128</v>
      </c>
      <c r="D112" s="21">
        <f t="shared" ref="D112:D117" si="16">+D111/2</f>
        <v>100</v>
      </c>
      <c r="E112" s="21">
        <f t="shared" si="12"/>
        <v>43740</v>
      </c>
      <c r="F112">
        <v>5.25</v>
      </c>
    </row>
    <row r="113" spans="1:6" x14ac:dyDescent="0.25">
      <c r="A113" t="s">
        <v>36</v>
      </c>
      <c r="B113" t="s">
        <v>39</v>
      </c>
      <c r="C113">
        <f t="shared" si="15"/>
        <v>256</v>
      </c>
      <c r="D113" s="21">
        <f t="shared" si="16"/>
        <v>50</v>
      </c>
      <c r="E113" s="21">
        <f t="shared" si="12"/>
        <v>21870</v>
      </c>
      <c r="F113">
        <v>3.72</v>
      </c>
    </row>
    <row r="114" spans="1:6" x14ac:dyDescent="0.25">
      <c r="A114" t="s">
        <v>36</v>
      </c>
      <c r="B114" t="s">
        <v>39</v>
      </c>
      <c r="C114">
        <f t="shared" si="15"/>
        <v>512</v>
      </c>
      <c r="D114" s="21">
        <f t="shared" si="16"/>
        <v>25</v>
      </c>
      <c r="E114" s="21">
        <f t="shared" si="12"/>
        <v>10935</v>
      </c>
      <c r="F114">
        <v>2.67</v>
      </c>
    </row>
    <row r="115" spans="1:6" x14ac:dyDescent="0.25">
      <c r="A115" t="s">
        <v>36</v>
      </c>
      <c r="B115" t="s">
        <v>39</v>
      </c>
      <c r="C115">
        <f t="shared" si="15"/>
        <v>1024</v>
      </c>
      <c r="D115" s="21">
        <f t="shared" si="16"/>
        <v>12.5</v>
      </c>
      <c r="E115" s="21">
        <f t="shared" si="12"/>
        <v>5467.5</v>
      </c>
      <c r="F115">
        <v>1.87</v>
      </c>
    </row>
    <row r="116" spans="1:6" x14ac:dyDescent="0.25">
      <c r="A116" t="s">
        <v>36</v>
      </c>
      <c r="B116" t="s">
        <v>39</v>
      </c>
      <c r="C116">
        <f t="shared" si="15"/>
        <v>2048</v>
      </c>
      <c r="D116" s="21">
        <f t="shared" si="16"/>
        <v>6.25</v>
      </c>
      <c r="E116" s="21">
        <f t="shared" si="12"/>
        <v>2733.75</v>
      </c>
      <c r="F116">
        <v>1.32</v>
      </c>
    </row>
    <row r="117" spans="1:6" x14ac:dyDescent="0.25">
      <c r="A117" t="s">
        <v>36</v>
      </c>
      <c r="B117" t="s">
        <v>39</v>
      </c>
      <c r="C117">
        <f>+C116*2</f>
        <v>4096</v>
      </c>
      <c r="D117" s="21">
        <f t="shared" si="16"/>
        <v>3.125</v>
      </c>
      <c r="E117" s="21">
        <f t="shared" si="12"/>
        <v>1366.875</v>
      </c>
      <c r="F117">
        <v>0.95</v>
      </c>
    </row>
    <row r="118" spans="1:6" x14ac:dyDescent="0.25">
      <c r="A118" t="s">
        <v>36</v>
      </c>
      <c r="B118" t="s">
        <v>64</v>
      </c>
      <c r="C118">
        <v>32</v>
      </c>
      <c r="D118" s="21">
        <v>200</v>
      </c>
      <c r="E118" s="21">
        <f t="shared" si="12"/>
        <v>87480</v>
      </c>
      <c r="F118">
        <v>10.6</v>
      </c>
    </row>
    <row r="119" spans="1:6" x14ac:dyDescent="0.25">
      <c r="A119" t="s">
        <v>36</v>
      </c>
      <c r="B119" t="s">
        <v>64</v>
      </c>
      <c r="C119">
        <f>+C118*2</f>
        <v>64</v>
      </c>
      <c r="D119" s="21">
        <f>+D118/2</f>
        <v>100</v>
      </c>
      <c r="E119" s="21">
        <f t="shared" si="12"/>
        <v>43740</v>
      </c>
      <c r="F119">
        <v>7.3</v>
      </c>
    </row>
    <row r="120" spans="1:6" x14ac:dyDescent="0.25">
      <c r="A120" t="s">
        <v>36</v>
      </c>
      <c r="B120" t="s">
        <v>64</v>
      </c>
      <c r="C120">
        <f t="shared" ref="C120:C124" si="17">+C119*2</f>
        <v>128</v>
      </c>
      <c r="D120" s="21">
        <f t="shared" ref="D120:D125" si="18">+D119/2</f>
        <v>50</v>
      </c>
      <c r="E120" s="21">
        <f t="shared" si="12"/>
        <v>21870</v>
      </c>
      <c r="F120">
        <v>5.07</v>
      </c>
    </row>
    <row r="121" spans="1:6" x14ac:dyDescent="0.25">
      <c r="A121" t="s">
        <v>36</v>
      </c>
      <c r="B121" t="s">
        <v>64</v>
      </c>
      <c r="C121">
        <f t="shared" si="17"/>
        <v>256</v>
      </c>
      <c r="D121" s="21">
        <f t="shared" si="18"/>
        <v>25</v>
      </c>
      <c r="E121" s="21">
        <f t="shared" si="12"/>
        <v>10935</v>
      </c>
      <c r="F121">
        <v>3.58</v>
      </c>
    </row>
    <row r="122" spans="1:6" x14ac:dyDescent="0.25">
      <c r="A122" t="s">
        <v>36</v>
      </c>
      <c r="B122" t="s">
        <v>64</v>
      </c>
      <c r="C122">
        <f t="shared" si="17"/>
        <v>512</v>
      </c>
      <c r="D122" s="21">
        <f t="shared" si="18"/>
        <v>12.5</v>
      </c>
      <c r="E122" s="21">
        <f t="shared" si="12"/>
        <v>5467.5</v>
      </c>
      <c r="F122">
        <v>2.54</v>
      </c>
    </row>
    <row r="123" spans="1:6" x14ac:dyDescent="0.25">
      <c r="A123" t="s">
        <v>36</v>
      </c>
      <c r="B123" t="s">
        <v>64</v>
      </c>
      <c r="C123">
        <f t="shared" si="17"/>
        <v>1024</v>
      </c>
      <c r="D123" s="21">
        <f t="shared" si="18"/>
        <v>6.25</v>
      </c>
      <c r="E123" s="21">
        <f t="shared" si="12"/>
        <v>2733.75</v>
      </c>
      <c r="F123">
        <v>1.82</v>
      </c>
    </row>
    <row r="124" spans="1:6" x14ac:dyDescent="0.25">
      <c r="A124" t="s">
        <v>36</v>
      </c>
      <c r="B124" t="s">
        <v>64</v>
      </c>
      <c r="C124">
        <f t="shared" si="17"/>
        <v>2048</v>
      </c>
      <c r="D124" s="21">
        <f t="shared" si="18"/>
        <v>3.125</v>
      </c>
      <c r="E124" s="21">
        <f t="shared" si="12"/>
        <v>1366.875</v>
      </c>
      <c r="F124">
        <v>1.29</v>
      </c>
    </row>
    <row r="125" spans="1:6" x14ac:dyDescent="0.25">
      <c r="A125" t="s">
        <v>36</v>
      </c>
      <c r="B125" t="s">
        <v>64</v>
      </c>
      <c r="C125">
        <f>+C124*2</f>
        <v>4096</v>
      </c>
      <c r="D125" s="21">
        <f t="shared" si="18"/>
        <v>1.5625</v>
      </c>
      <c r="E125" s="21">
        <f t="shared" si="12"/>
        <v>683.4375</v>
      </c>
      <c r="F125">
        <v>0.93</v>
      </c>
    </row>
    <row r="126" spans="1:6" x14ac:dyDescent="0.25">
      <c r="A126" t="s">
        <v>36</v>
      </c>
      <c r="B126" t="s">
        <v>40</v>
      </c>
      <c r="C126">
        <v>32</v>
      </c>
      <c r="D126" s="21">
        <v>50</v>
      </c>
      <c r="E126" s="21">
        <f t="shared" si="12"/>
        <v>21870</v>
      </c>
      <c r="F126">
        <v>10.4</v>
      </c>
    </row>
    <row r="127" spans="1:6" x14ac:dyDescent="0.25">
      <c r="A127" t="s">
        <v>36</v>
      </c>
      <c r="B127" t="s">
        <v>40</v>
      </c>
      <c r="C127">
        <f>+C126*2</f>
        <v>64</v>
      </c>
      <c r="D127" s="21">
        <f>+D126/2</f>
        <v>25</v>
      </c>
      <c r="E127" s="21">
        <f t="shared" si="12"/>
        <v>10935</v>
      </c>
      <c r="F127">
        <v>7.14</v>
      </c>
    </row>
    <row r="128" spans="1:6" x14ac:dyDescent="0.25">
      <c r="A128" t="s">
        <v>36</v>
      </c>
      <c r="B128" t="s">
        <v>40</v>
      </c>
      <c r="C128">
        <f t="shared" ref="C128:C132" si="19">+C127*2</f>
        <v>128</v>
      </c>
      <c r="D128" s="21">
        <f t="shared" ref="D128:D133" si="20">+D127/2</f>
        <v>12.5</v>
      </c>
      <c r="E128" s="21">
        <f t="shared" si="12"/>
        <v>5467.5</v>
      </c>
      <c r="F128">
        <v>4.97</v>
      </c>
    </row>
    <row r="129" spans="1:12" x14ac:dyDescent="0.25">
      <c r="A129" t="s">
        <v>36</v>
      </c>
      <c r="B129" t="s">
        <v>40</v>
      </c>
      <c r="C129">
        <f t="shared" si="19"/>
        <v>256</v>
      </c>
      <c r="D129" s="21">
        <f t="shared" si="20"/>
        <v>6.25</v>
      </c>
      <c r="E129" s="21">
        <f t="shared" si="12"/>
        <v>2733.75</v>
      </c>
      <c r="F129">
        <v>3.53</v>
      </c>
    </row>
    <row r="130" spans="1:12" x14ac:dyDescent="0.25">
      <c r="A130" t="s">
        <v>36</v>
      </c>
      <c r="B130" t="s">
        <v>40</v>
      </c>
      <c r="C130">
        <f t="shared" si="19"/>
        <v>512</v>
      </c>
      <c r="D130" s="21">
        <f t="shared" si="20"/>
        <v>3.125</v>
      </c>
      <c r="E130" s="21">
        <f t="shared" si="12"/>
        <v>1366.875</v>
      </c>
      <c r="F130">
        <v>2.4700000000000002</v>
      </c>
    </row>
    <row r="131" spans="1:12" x14ac:dyDescent="0.25">
      <c r="A131" t="s">
        <v>36</v>
      </c>
      <c r="B131" t="s">
        <v>40</v>
      </c>
      <c r="C131">
        <f t="shared" si="19"/>
        <v>1024</v>
      </c>
      <c r="D131" s="21">
        <f t="shared" si="20"/>
        <v>1.5625</v>
      </c>
      <c r="E131" s="21">
        <f t="shared" si="12"/>
        <v>683.4375</v>
      </c>
      <c r="F131">
        <v>1.76</v>
      </c>
    </row>
    <row r="132" spans="1:12" x14ac:dyDescent="0.25">
      <c r="A132" t="s">
        <v>36</v>
      </c>
      <c r="B132" t="s">
        <v>40</v>
      </c>
      <c r="C132">
        <f t="shared" si="19"/>
        <v>2048</v>
      </c>
      <c r="D132" s="21">
        <f t="shared" si="20"/>
        <v>0.78125</v>
      </c>
      <c r="E132" s="21">
        <f t="shared" si="12"/>
        <v>341.71875</v>
      </c>
      <c r="F132">
        <v>1.25</v>
      </c>
    </row>
    <row r="133" spans="1:12" x14ac:dyDescent="0.25">
      <c r="A133" t="s">
        <v>36</v>
      </c>
      <c r="B133" t="s">
        <v>40</v>
      </c>
      <c r="C133">
        <f>+C132*2</f>
        <v>4096</v>
      </c>
      <c r="D133" s="21">
        <f t="shared" si="20"/>
        <v>0.390625</v>
      </c>
      <c r="E133" s="21">
        <f t="shared" si="12"/>
        <v>170.859375</v>
      </c>
      <c r="F133">
        <v>0.89</v>
      </c>
    </row>
    <row r="137" spans="1:12" x14ac:dyDescent="0.25">
      <c r="B137" s="28" t="s">
        <v>57</v>
      </c>
      <c r="D137" s="21"/>
      <c r="E137" s="21"/>
      <c r="I137" s="17" t="s">
        <v>61</v>
      </c>
      <c r="J137" s="17" t="s">
        <v>54</v>
      </c>
      <c r="K137" s="17" t="s">
        <v>59</v>
      </c>
      <c r="L137" s="17" t="s">
        <v>55</v>
      </c>
    </row>
    <row r="138" spans="1:12" x14ac:dyDescent="0.25">
      <c r="B138" t="s">
        <v>33</v>
      </c>
      <c r="C138" s="26" t="s">
        <v>34</v>
      </c>
      <c r="D138" s="26" t="s">
        <v>37</v>
      </c>
      <c r="E138" s="26" t="s">
        <v>66</v>
      </c>
      <c r="F138" t="s">
        <v>38</v>
      </c>
      <c r="I138" s="21">
        <v>1365.3</v>
      </c>
      <c r="J138" s="21">
        <f>+I138*25.6/32.768</f>
        <v>1066.640625</v>
      </c>
      <c r="K138" s="21">
        <v>533.3203125</v>
      </c>
      <c r="L138" s="21">
        <f>I138*3.2/32.768</f>
        <v>133.330078125</v>
      </c>
    </row>
    <row r="139" spans="1:12" x14ac:dyDescent="0.25">
      <c r="A139" t="s">
        <v>44</v>
      </c>
      <c r="B139" t="s">
        <v>63</v>
      </c>
      <c r="C139">
        <v>12</v>
      </c>
      <c r="D139" s="21">
        <v>1365.3</v>
      </c>
      <c r="E139" s="29">
        <v>310200</v>
      </c>
      <c r="F139">
        <v>66.8</v>
      </c>
      <c r="I139" s="21">
        <v>1024</v>
      </c>
      <c r="J139" s="21">
        <f t="shared" ref="J139:J157" si="21">+I139*25.6/32.768</f>
        <v>800</v>
      </c>
      <c r="K139" s="21">
        <v>400</v>
      </c>
      <c r="L139" s="21">
        <f t="shared" ref="L139:L157" si="22">I139*3.2/32.768</f>
        <v>100</v>
      </c>
    </row>
    <row r="140" spans="1:12" x14ac:dyDescent="0.25">
      <c r="A140" t="s">
        <v>44</v>
      </c>
      <c r="B140" t="s">
        <v>63</v>
      </c>
      <c r="C140">
        <v>16</v>
      </c>
      <c r="D140" s="21">
        <v>1024</v>
      </c>
      <c r="E140" s="29">
        <f>+$E$139/($D$139)*D140</f>
        <v>232655.68007031424</v>
      </c>
      <c r="F140">
        <v>24.8</v>
      </c>
      <c r="I140" s="21">
        <v>682.67</v>
      </c>
      <c r="J140" s="21">
        <f t="shared" si="21"/>
        <v>533.3359375</v>
      </c>
      <c r="K140" s="21">
        <v>266.66796875</v>
      </c>
      <c r="L140" s="21">
        <f t="shared" si="22"/>
        <v>66.6669921875</v>
      </c>
    </row>
    <row r="141" spans="1:12" x14ac:dyDescent="0.25">
      <c r="A141" t="s">
        <v>44</v>
      </c>
      <c r="B141" t="s">
        <v>63</v>
      </c>
      <c r="C141">
        <v>24</v>
      </c>
      <c r="D141" s="21">
        <v>682.67</v>
      </c>
      <c r="E141" s="29">
        <f t="shared" ref="E141:E158" si="23">+$E$139/($D$139)*D141</f>
        <v>155104.54405625138</v>
      </c>
      <c r="F141">
        <v>10.8</v>
      </c>
      <c r="I141" s="21">
        <v>512</v>
      </c>
      <c r="J141" s="21">
        <f t="shared" si="21"/>
        <v>400</v>
      </c>
      <c r="K141" s="21">
        <v>200</v>
      </c>
      <c r="L141" s="21">
        <f t="shared" si="22"/>
        <v>50</v>
      </c>
    </row>
    <row r="142" spans="1:12" x14ac:dyDescent="0.25">
      <c r="A142" t="s">
        <v>44</v>
      </c>
      <c r="B142" t="s">
        <v>63</v>
      </c>
      <c r="C142">
        <v>32</v>
      </c>
      <c r="D142" s="21">
        <v>512</v>
      </c>
      <c r="E142" s="29">
        <f t="shared" si="23"/>
        <v>116327.84003515712</v>
      </c>
      <c r="F142">
        <v>8.24</v>
      </c>
      <c r="I142" s="21">
        <v>256</v>
      </c>
      <c r="J142" s="21">
        <f t="shared" si="21"/>
        <v>200</v>
      </c>
      <c r="K142" s="21">
        <v>100</v>
      </c>
      <c r="L142" s="21">
        <f t="shared" si="22"/>
        <v>25</v>
      </c>
    </row>
    <row r="143" spans="1:12" x14ac:dyDescent="0.25">
      <c r="A143" t="s">
        <v>44</v>
      </c>
      <c r="B143" t="s">
        <v>63</v>
      </c>
      <c r="C143">
        <f>+C142*2</f>
        <v>64</v>
      </c>
      <c r="D143" s="21">
        <v>256</v>
      </c>
      <c r="E143" s="29">
        <f t="shared" si="23"/>
        <v>58163.920017578559</v>
      </c>
      <c r="F143">
        <v>5.71</v>
      </c>
      <c r="I143" s="21">
        <v>128</v>
      </c>
      <c r="J143" s="21">
        <f t="shared" si="21"/>
        <v>100</v>
      </c>
      <c r="K143" s="21">
        <v>50</v>
      </c>
      <c r="L143" s="21">
        <f t="shared" si="22"/>
        <v>12.5</v>
      </c>
    </row>
    <row r="144" spans="1:12" x14ac:dyDescent="0.25">
      <c r="A144" t="s">
        <v>44</v>
      </c>
      <c r="B144" t="s">
        <v>63</v>
      </c>
      <c r="C144">
        <f t="shared" ref="C144:C145" si="24">+C143*2</f>
        <v>128</v>
      </c>
      <c r="D144" s="21">
        <v>128</v>
      </c>
      <c r="E144" s="29">
        <f t="shared" si="23"/>
        <v>29081.96000878928</v>
      </c>
      <c r="F144">
        <v>3.98</v>
      </c>
      <c r="I144" s="21">
        <v>64</v>
      </c>
      <c r="J144" s="21">
        <f t="shared" si="21"/>
        <v>50</v>
      </c>
      <c r="K144" s="21">
        <v>38.323</v>
      </c>
      <c r="L144" s="21">
        <f t="shared" si="22"/>
        <v>6.25</v>
      </c>
    </row>
    <row r="145" spans="1:12" x14ac:dyDescent="0.25">
      <c r="A145" t="s">
        <v>44</v>
      </c>
      <c r="B145" t="s">
        <v>63</v>
      </c>
      <c r="C145">
        <f t="shared" si="24"/>
        <v>256</v>
      </c>
      <c r="D145" s="21">
        <v>64</v>
      </c>
      <c r="E145" s="29">
        <f t="shared" si="23"/>
        <v>14540.98000439464</v>
      </c>
      <c r="F145">
        <v>2.78</v>
      </c>
      <c r="I145" s="21">
        <v>49.201000000000001</v>
      </c>
      <c r="J145" s="21">
        <f t="shared" si="21"/>
        <v>38.438281250000003</v>
      </c>
      <c r="K145" s="21">
        <v>25</v>
      </c>
      <c r="L145" s="21">
        <f t="shared" si="22"/>
        <v>4.8047851562500004</v>
      </c>
    </row>
    <row r="146" spans="1:12" x14ac:dyDescent="0.25">
      <c r="A146" t="s">
        <v>44</v>
      </c>
      <c r="B146" t="s">
        <v>63</v>
      </c>
      <c r="C146">
        <v>333</v>
      </c>
      <c r="D146" s="21">
        <v>49.201000000000001</v>
      </c>
      <c r="E146" s="29">
        <f t="shared" si="23"/>
        <v>11178.605581190948</v>
      </c>
      <c r="F146">
        <v>2.5</v>
      </c>
      <c r="I146" s="21">
        <v>32</v>
      </c>
      <c r="J146" s="21">
        <f t="shared" si="21"/>
        <v>25</v>
      </c>
      <c r="K146" s="21">
        <v>19.219000000000001</v>
      </c>
      <c r="L146" s="21">
        <f t="shared" si="22"/>
        <v>3.125</v>
      </c>
    </row>
    <row r="147" spans="1:12" x14ac:dyDescent="0.25">
      <c r="A147" t="s">
        <v>44</v>
      </c>
      <c r="B147" t="s">
        <v>63</v>
      </c>
      <c r="C147">
        <v>512</v>
      </c>
      <c r="D147" s="21">
        <v>32</v>
      </c>
      <c r="E147" s="29">
        <f t="shared" si="23"/>
        <v>7270.4900021973199</v>
      </c>
      <c r="F147">
        <v>1.98</v>
      </c>
      <c r="I147" s="21">
        <v>24.564</v>
      </c>
      <c r="J147" s="21">
        <f t="shared" si="21"/>
        <v>19.190625000000001</v>
      </c>
      <c r="K147" s="21">
        <v>12.5</v>
      </c>
      <c r="L147" s="21">
        <f t="shared" si="22"/>
        <v>2.3988281250000001</v>
      </c>
    </row>
    <row r="148" spans="1:12" x14ac:dyDescent="0.25">
      <c r="A148" t="s">
        <v>44</v>
      </c>
      <c r="B148" t="s">
        <v>63</v>
      </c>
      <c r="C148">
        <v>667</v>
      </c>
      <c r="D148" s="21">
        <v>24.564</v>
      </c>
      <c r="E148" s="29">
        <f t="shared" si="23"/>
        <v>5581.0098879367179</v>
      </c>
      <c r="F148">
        <v>1.77</v>
      </c>
      <c r="I148" s="21">
        <v>16</v>
      </c>
      <c r="J148" s="21">
        <f t="shared" si="21"/>
        <v>12.5</v>
      </c>
      <c r="K148" s="21">
        <v>9.5950000000000006</v>
      </c>
      <c r="L148" s="21">
        <f t="shared" si="22"/>
        <v>1.5625</v>
      </c>
    </row>
    <row r="149" spans="1:12" x14ac:dyDescent="0.25">
      <c r="A149" t="s">
        <v>44</v>
      </c>
      <c r="B149" t="s">
        <v>63</v>
      </c>
      <c r="C149">
        <v>1024</v>
      </c>
      <c r="D149" s="21">
        <v>16</v>
      </c>
      <c r="E149" s="29">
        <f t="shared" si="23"/>
        <v>3635.2450010986599</v>
      </c>
      <c r="F149">
        <v>1.41</v>
      </c>
      <c r="I149" s="21">
        <v>12.291</v>
      </c>
      <c r="J149" s="21">
        <f t="shared" si="21"/>
        <v>9.6023437500000011</v>
      </c>
      <c r="K149" s="21">
        <v>6.25</v>
      </c>
      <c r="L149" s="21">
        <f t="shared" si="22"/>
        <v>1.2002929687500001</v>
      </c>
    </row>
    <row r="150" spans="1:12" x14ac:dyDescent="0.25">
      <c r="A150" t="s">
        <v>44</v>
      </c>
      <c r="B150" t="s">
        <v>63</v>
      </c>
      <c r="C150">
        <v>1333</v>
      </c>
      <c r="D150" s="21">
        <v>12.291</v>
      </c>
      <c r="E150" s="29">
        <f t="shared" si="23"/>
        <v>2792.549769281477</v>
      </c>
      <c r="F150">
        <v>1.25</v>
      </c>
      <c r="I150" s="21">
        <v>8</v>
      </c>
      <c r="J150" s="21">
        <f t="shared" si="21"/>
        <v>6.25</v>
      </c>
      <c r="K150" s="21">
        <v>1.29</v>
      </c>
      <c r="L150" s="21">
        <f t="shared" si="22"/>
        <v>0.78125</v>
      </c>
    </row>
    <row r="151" spans="1:12" x14ac:dyDescent="0.25">
      <c r="A151" t="s">
        <v>44</v>
      </c>
      <c r="B151" t="s">
        <v>63</v>
      </c>
      <c r="C151">
        <v>2048</v>
      </c>
      <c r="D151" s="21">
        <v>8</v>
      </c>
      <c r="E151" s="29">
        <f t="shared" si="23"/>
        <v>1817.62250054933</v>
      </c>
      <c r="F151">
        <v>1</v>
      </c>
      <c r="I151" s="21">
        <v>6.1429999999999998</v>
      </c>
      <c r="J151" s="21">
        <f t="shared" si="21"/>
        <v>4.7992187500000005</v>
      </c>
      <c r="K151" s="21">
        <v>3.125</v>
      </c>
      <c r="L151" s="21">
        <f t="shared" si="22"/>
        <v>0.59990234375000007</v>
      </c>
    </row>
    <row r="152" spans="1:12" x14ac:dyDescent="0.25">
      <c r="A152" t="s">
        <v>44</v>
      </c>
      <c r="B152" t="s">
        <v>63</v>
      </c>
      <c r="C152">
        <v>2667</v>
      </c>
      <c r="D152" s="21">
        <v>6.1429999999999998</v>
      </c>
      <c r="E152" s="29">
        <f t="shared" si="23"/>
        <v>1395.7068776093167</v>
      </c>
      <c r="F152">
        <v>0.89</v>
      </c>
      <c r="I152" s="21">
        <v>4</v>
      </c>
      <c r="J152" s="21">
        <f t="shared" si="21"/>
        <v>3.125</v>
      </c>
      <c r="K152" s="21">
        <v>2.4</v>
      </c>
      <c r="L152" s="21">
        <f t="shared" si="22"/>
        <v>0.390625</v>
      </c>
    </row>
    <row r="153" spans="1:12" x14ac:dyDescent="0.25">
      <c r="A153" t="s">
        <v>44</v>
      </c>
      <c r="B153" t="s">
        <v>63</v>
      </c>
      <c r="C153">
        <v>4096</v>
      </c>
      <c r="D153" s="21">
        <v>4</v>
      </c>
      <c r="E153" s="29">
        <f t="shared" si="23"/>
        <v>908.81125027466499</v>
      </c>
      <c r="F153">
        <v>0.71</v>
      </c>
      <c r="I153" s="21">
        <v>3.0720000000000001</v>
      </c>
      <c r="J153" s="21">
        <f t="shared" si="21"/>
        <v>2.4000000000000004</v>
      </c>
      <c r="K153" s="21">
        <v>1.5629999999999999</v>
      </c>
      <c r="L153" s="21">
        <f t="shared" si="22"/>
        <v>0.30000000000000004</v>
      </c>
    </row>
    <row r="154" spans="1:12" x14ac:dyDescent="0.25">
      <c r="A154" t="s">
        <v>44</v>
      </c>
      <c r="B154" t="s">
        <v>63</v>
      </c>
      <c r="C154">
        <v>5333</v>
      </c>
      <c r="D154" s="21">
        <v>3.0720000000000001</v>
      </c>
      <c r="E154" s="29">
        <f t="shared" si="23"/>
        <v>697.96704021094274</v>
      </c>
      <c r="F154">
        <v>0.63</v>
      </c>
      <c r="I154" s="21">
        <v>0.61399999999999999</v>
      </c>
      <c r="J154" s="21">
        <f t="shared" si="21"/>
        <v>0.47968749999999999</v>
      </c>
      <c r="K154" s="21">
        <v>0.437</v>
      </c>
      <c r="L154" s="21">
        <f t="shared" si="22"/>
        <v>5.9960937499999999E-2</v>
      </c>
    </row>
    <row r="155" spans="1:12" x14ac:dyDescent="0.25">
      <c r="A155" t="s">
        <v>44</v>
      </c>
      <c r="B155" t="s">
        <v>63</v>
      </c>
      <c r="C155">
        <v>26667</v>
      </c>
      <c r="D155" s="21">
        <v>0.61399999999999999</v>
      </c>
      <c r="E155" s="29">
        <f t="shared" si="23"/>
        <v>139.50252691716108</v>
      </c>
      <c r="F155">
        <v>0.33500000000000002</v>
      </c>
      <c r="I155" s="21">
        <v>0.51200000000000001</v>
      </c>
      <c r="J155" s="21">
        <f t="shared" si="21"/>
        <v>0.4</v>
      </c>
      <c r="K155" s="21">
        <v>0.4</v>
      </c>
      <c r="L155" s="21">
        <f t="shared" si="22"/>
        <v>0.05</v>
      </c>
    </row>
    <row r="156" spans="1:12" x14ac:dyDescent="0.25">
      <c r="A156" t="s">
        <v>44</v>
      </c>
      <c r="B156" t="s">
        <v>63</v>
      </c>
      <c r="C156">
        <v>32000</v>
      </c>
      <c r="D156" s="21">
        <v>0.51200000000000001</v>
      </c>
      <c r="E156" s="29">
        <f t="shared" si="23"/>
        <v>116.32784003515712</v>
      </c>
      <c r="F156">
        <v>0.30299999999999999</v>
      </c>
      <c r="I156" s="21">
        <v>0.17066999999999999</v>
      </c>
      <c r="J156" s="21">
        <f t="shared" si="21"/>
        <v>0.1333359375</v>
      </c>
      <c r="K156" s="21">
        <v>0.13300000000000001</v>
      </c>
      <c r="L156" s="21">
        <f t="shared" si="22"/>
        <v>1.66669921875E-2</v>
      </c>
    </row>
    <row r="157" spans="1:12" x14ac:dyDescent="0.25">
      <c r="A157" t="s">
        <v>44</v>
      </c>
      <c r="B157" t="s">
        <v>63</v>
      </c>
      <c r="C157">
        <v>96000</v>
      </c>
      <c r="D157" s="21">
        <v>0.17066999999999999</v>
      </c>
      <c r="E157" s="29">
        <f t="shared" si="23"/>
        <v>38.776704021094268</v>
      </c>
      <c r="F157">
        <v>0.20200000000000001</v>
      </c>
      <c r="I157" s="21">
        <v>0.10199999999999999</v>
      </c>
      <c r="J157" s="21">
        <f t="shared" si="21"/>
        <v>7.9687500000000008E-2</v>
      </c>
      <c r="K157" s="21">
        <v>0.08</v>
      </c>
      <c r="L157" s="21">
        <f t="shared" si="22"/>
        <v>9.960937500000001E-3</v>
      </c>
    </row>
    <row r="158" spans="1:12" x14ac:dyDescent="0.25">
      <c r="A158" t="s">
        <v>44</v>
      </c>
      <c r="B158" t="s">
        <v>63</v>
      </c>
      <c r="C158">
        <v>160000</v>
      </c>
      <c r="D158" s="21">
        <v>0.10199999999999999</v>
      </c>
      <c r="E158" s="29">
        <f t="shared" si="23"/>
        <v>23.174686882003957</v>
      </c>
      <c r="F158">
        <v>0.24299999999999999</v>
      </c>
    </row>
    <row r="159" spans="1:12" x14ac:dyDescent="0.25">
      <c r="D159" s="21"/>
      <c r="E159" s="21"/>
    </row>
    <row r="160" spans="1:12" x14ac:dyDescent="0.25">
      <c r="B160" t="s">
        <v>33</v>
      </c>
      <c r="C160" s="26" t="s">
        <v>34</v>
      </c>
      <c r="D160" s="26" t="s">
        <v>37</v>
      </c>
      <c r="E160" s="26" t="s">
        <v>66</v>
      </c>
      <c r="F160" t="s">
        <v>38</v>
      </c>
    </row>
    <row r="161" spans="1:6" x14ac:dyDescent="0.25">
      <c r="A161" t="s">
        <v>44</v>
      </c>
      <c r="B161" t="s">
        <v>39</v>
      </c>
      <c r="C161">
        <v>12</v>
      </c>
      <c r="D161" s="21">
        <v>1066.640625</v>
      </c>
      <c r="E161" s="29">
        <v>242300</v>
      </c>
      <c r="F161">
        <v>66.599999999999994</v>
      </c>
    </row>
    <row r="162" spans="1:6" x14ac:dyDescent="0.25">
      <c r="A162" t="s">
        <v>44</v>
      </c>
      <c r="B162" t="s">
        <v>39</v>
      </c>
      <c r="C162">
        <v>16</v>
      </c>
      <c r="D162" s="21">
        <v>800</v>
      </c>
      <c r="E162" s="29">
        <f>+$E$161/($D$161)*D162</f>
        <v>181729.436753827</v>
      </c>
      <c r="F162">
        <v>24.5</v>
      </c>
    </row>
    <row r="163" spans="1:6" x14ac:dyDescent="0.25">
      <c r="A163" t="s">
        <v>44</v>
      </c>
      <c r="B163" t="s">
        <v>39</v>
      </c>
      <c r="C163">
        <v>24</v>
      </c>
      <c r="D163" s="21">
        <v>533.3359375</v>
      </c>
      <c r="E163" s="29">
        <f t="shared" ref="E163:E180" si="25">+$E$161/($D$161)*D163</f>
        <v>121153.54940306161</v>
      </c>
      <c r="F163">
        <v>10.3</v>
      </c>
    </row>
    <row r="164" spans="1:6" x14ac:dyDescent="0.25">
      <c r="A164" t="s">
        <v>44</v>
      </c>
      <c r="B164" t="s">
        <v>39</v>
      </c>
      <c r="C164">
        <v>32</v>
      </c>
      <c r="D164" s="21">
        <v>400</v>
      </c>
      <c r="E164" s="29">
        <f t="shared" si="25"/>
        <v>90864.718376913501</v>
      </c>
      <c r="F164">
        <v>8.07</v>
      </c>
    </row>
    <row r="165" spans="1:6" x14ac:dyDescent="0.25">
      <c r="A165" t="s">
        <v>44</v>
      </c>
      <c r="B165" t="s">
        <v>39</v>
      </c>
      <c r="C165">
        <f>+C164*2</f>
        <v>64</v>
      </c>
      <c r="D165" s="21">
        <v>200</v>
      </c>
      <c r="E165" s="29">
        <f t="shared" si="25"/>
        <v>45432.35918845675</v>
      </c>
      <c r="F165">
        <v>5.53</v>
      </c>
    </row>
    <row r="166" spans="1:6" x14ac:dyDescent="0.25">
      <c r="A166" t="s">
        <v>44</v>
      </c>
      <c r="B166" t="s">
        <v>39</v>
      </c>
      <c r="C166">
        <f t="shared" ref="C166:C167" si="26">+C165*2</f>
        <v>128</v>
      </c>
      <c r="D166" s="21">
        <v>100</v>
      </c>
      <c r="E166" s="29">
        <f t="shared" si="25"/>
        <v>22716.179594228375</v>
      </c>
      <c r="F166">
        <v>3.89</v>
      </c>
    </row>
    <row r="167" spans="1:6" x14ac:dyDescent="0.25">
      <c r="A167" t="s">
        <v>44</v>
      </c>
      <c r="B167" t="s">
        <v>39</v>
      </c>
      <c r="C167">
        <f t="shared" si="26"/>
        <v>256</v>
      </c>
      <c r="D167" s="21">
        <v>50</v>
      </c>
      <c r="E167" s="29">
        <f t="shared" si="25"/>
        <v>11358.089797114188</v>
      </c>
      <c r="F167">
        <v>2.74</v>
      </c>
    </row>
    <row r="168" spans="1:6" x14ac:dyDescent="0.25">
      <c r="A168" t="s">
        <v>44</v>
      </c>
      <c r="B168" t="s">
        <v>39</v>
      </c>
      <c r="C168">
        <v>333</v>
      </c>
      <c r="D168" s="21">
        <v>38.438281250000003</v>
      </c>
      <c r="E168" s="29">
        <f t="shared" si="25"/>
        <v>8731.7090016846123</v>
      </c>
      <c r="F168">
        <v>2.46</v>
      </c>
    </row>
    <row r="169" spans="1:6" x14ac:dyDescent="0.25">
      <c r="A169" t="s">
        <v>44</v>
      </c>
      <c r="B169" t="s">
        <v>39</v>
      </c>
      <c r="C169">
        <v>512</v>
      </c>
      <c r="D169" s="21">
        <v>25</v>
      </c>
      <c r="E169" s="29">
        <f t="shared" si="25"/>
        <v>5679.0448985570938</v>
      </c>
      <c r="F169">
        <v>1.93</v>
      </c>
    </row>
    <row r="170" spans="1:6" x14ac:dyDescent="0.25">
      <c r="A170" t="s">
        <v>44</v>
      </c>
      <c r="B170" t="s">
        <v>39</v>
      </c>
      <c r="C170">
        <v>667</v>
      </c>
      <c r="D170" s="21">
        <v>19.190625000000001</v>
      </c>
      <c r="E170" s="29">
        <f t="shared" si="25"/>
        <v>4359.3768402548894</v>
      </c>
      <c r="F170">
        <v>1.75</v>
      </c>
    </row>
    <row r="171" spans="1:6" x14ac:dyDescent="0.25">
      <c r="A171" t="s">
        <v>44</v>
      </c>
      <c r="B171" t="s">
        <v>39</v>
      </c>
      <c r="C171">
        <v>1024</v>
      </c>
      <c r="D171" s="21">
        <v>12.5</v>
      </c>
      <c r="E171" s="29">
        <f t="shared" si="25"/>
        <v>2839.5224492785469</v>
      </c>
      <c r="F171">
        <v>1.4</v>
      </c>
    </row>
    <row r="172" spans="1:6" x14ac:dyDescent="0.25">
      <c r="A172" t="s">
        <v>44</v>
      </c>
      <c r="B172" t="s">
        <v>39</v>
      </c>
      <c r="C172">
        <v>1333</v>
      </c>
      <c r="D172" s="21">
        <v>9.6023437500000011</v>
      </c>
      <c r="E172" s="29">
        <f t="shared" si="25"/>
        <v>2181.285651505164</v>
      </c>
      <c r="F172">
        <v>1.23</v>
      </c>
    </row>
    <row r="173" spans="1:6" x14ac:dyDescent="0.25">
      <c r="A173" t="s">
        <v>44</v>
      </c>
      <c r="B173" t="s">
        <v>39</v>
      </c>
      <c r="C173">
        <v>2048</v>
      </c>
      <c r="D173" s="21">
        <v>6.25</v>
      </c>
      <c r="E173" s="29">
        <f t="shared" si="25"/>
        <v>1419.7612246392735</v>
      </c>
      <c r="F173">
        <v>0.995</v>
      </c>
    </row>
    <row r="174" spans="1:6" x14ac:dyDescent="0.25">
      <c r="A174" t="s">
        <v>44</v>
      </c>
      <c r="B174" t="s">
        <v>39</v>
      </c>
      <c r="C174">
        <v>2667</v>
      </c>
      <c r="D174" s="21">
        <v>4.7992187500000005</v>
      </c>
      <c r="E174" s="29">
        <f t="shared" si="25"/>
        <v>1090.1991503698823</v>
      </c>
      <c r="F174">
        <v>0.85799999999999998</v>
      </c>
    </row>
    <row r="175" spans="1:6" x14ac:dyDescent="0.25">
      <c r="A175" t="s">
        <v>44</v>
      </c>
      <c r="B175" t="s">
        <v>39</v>
      </c>
      <c r="C175">
        <v>4096</v>
      </c>
      <c r="D175" s="21">
        <v>3.125</v>
      </c>
      <c r="E175" s="29">
        <f t="shared" si="25"/>
        <v>709.88061231963673</v>
      </c>
      <c r="F175">
        <v>0.70899999999999996</v>
      </c>
    </row>
    <row r="176" spans="1:6" x14ac:dyDescent="0.25">
      <c r="A176" t="s">
        <v>44</v>
      </c>
      <c r="B176" t="s">
        <v>39</v>
      </c>
      <c r="C176">
        <v>5333</v>
      </c>
      <c r="D176" s="21">
        <v>2.4000000000000004</v>
      </c>
      <c r="E176" s="29">
        <f t="shared" si="25"/>
        <v>545.18831026148109</v>
      </c>
      <c r="F176">
        <v>0.626</v>
      </c>
    </row>
    <row r="177" spans="1:6" x14ac:dyDescent="0.25">
      <c r="A177" t="s">
        <v>44</v>
      </c>
      <c r="B177" t="s">
        <v>39</v>
      </c>
      <c r="C177">
        <v>26667</v>
      </c>
      <c r="D177" s="21">
        <v>0.47968749999999999</v>
      </c>
      <c r="E177" s="29">
        <f t="shared" si="25"/>
        <v>108.96667399106424</v>
      </c>
      <c r="F177">
        <v>0.33</v>
      </c>
    </row>
    <row r="178" spans="1:6" x14ac:dyDescent="0.25">
      <c r="A178" t="s">
        <v>44</v>
      </c>
      <c r="B178" t="s">
        <v>39</v>
      </c>
      <c r="C178">
        <v>32000</v>
      </c>
      <c r="D178" s="21">
        <v>0.4</v>
      </c>
      <c r="E178" s="29">
        <f t="shared" si="25"/>
        <v>90.864718376913515</v>
      </c>
      <c r="F178">
        <v>0.29399999999999998</v>
      </c>
    </row>
    <row r="179" spans="1:6" x14ac:dyDescent="0.25">
      <c r="A179" t="s">
        <v>44</v>
      </c>
      <c r="B179" t="s">
        <v>39</v>
      </c>
      <c r="C179">
        <v>96000</v>
      </c>
      <c r="D179" s="21">
        <v>0.1333359375</v>
      </c>
      <c r="E179" s="29">
        <f t="shared" si="25"/>
        <v>30.288831026148102</v>
      </c>
      <c r="F179">
        <v>0.25</v>
      </c>
    </row>
    <row r="180" spans="1:6" x14ac:dyDescent="0.25">
      <c r="A180" t="s">
        <v>44</v>
      </c>
      <c r="B180" t="s">
        <v>39</v>
      </c>
      <c r="C180">
        <v>160000</v>
      </c>
      <c r="D180" s="21">
        <v>7.9687500000000008E-2</v>
      </c>
      <c r="E180" s="29">
        <f t="shared" si="25"/>
        <v>18.101955614150739</v>
      </c>
      <c r="F180">
        <v>0.23200000000000001</v>
      </c>
    </row>
    <row r="182" spans="1:6" x14ac:dyDescent="0.25">
      <c r="B182" t="s">
        <v>33</v>
      </c>
      <c r="C182" s="26" t="s">
        <v>34</v>
      </c>
      <c r="D182" s="26" t="s">
        <v>37</v>
      </c>
      <c r="E182" s="26" t="s">
        <v>66</v>
      </c>
      <c r="F182" t="s">
        <v>38</v>
      </c>
    </row>
    <row r="183" spans="1:6" x14ac:dyDescent="0.25">
      <c r="A183" t="s">
        <v>44</v>
      </c>
      <c r="B183" t="s">
        <v>64</v>
      </c>
      <c r="C183">
        <v>12</v>
      </c>
      <c r="D183" s="21">
        <v>533.3203125</v>
      </c>
      <c r="E183" s="29">
        <v>121200</v>
      </c>
      <c r="F183">
        <v>63.8</v>
      </c>
    </row>
    <row r="184" spans="1:6" x14ac:dyDescent="0.25">
      <c r="A184" t="s">
        <v>44</v>
      </c>
      <c r="B184" t="s">
        <v>64</v>
      </c>
      <c r="C184">
        <v>16</v>
      </c>
      <c r="D184" s="21">
        <v>400</v>
      </c>
      <c r="E184" s="29">
        <f>+$E$183/($D$183)*D184</f>
        <v>90902.219292463196</v>
      </c>
      <c r="F184">
        <v>24.5</v>
      </c>
    </row>
    <row r="185" spans="1:6" x14ac:dyDescent="0.25">
      <c r="A185" t="s">
        <v>44</v>
      </c>
      <c r="B185" t="s">
        <v>64</v>
      </c>
      <c r="C185">
        <v>24</v>
      </c>
      <c r="D185" s="21">
        <v>266.66796875</v>
      </c>
      <c r="E185" s="29">
        <f t="shared" ref="E185:E202" si="27">+$E$183/($D$183)*D185</f>
        <v>60601.77543397055</v>
      </c>
      <c r="F185">
        <v>10.1</v>
      </c>
    </row>
    <row r="186" spans="1:6" x14ac:dyDescent="0.25">
      <c r="A186" t="s">
        <v>44</v>
      </c>
      <c r="B186" t="s">
        <v>64</v>
      </c>
      <c r="C186">
        <v>32</v>
      </c>
      <c r="D186" s="21">
        <v>200</v>
      </c>
      <c r="E186" s="29">
        <f t="shared" si="27"/>
        <v>45451.109646231598</v>
      </c>
      <c r="F186">
        <v>7.88</v>
      </c>
    </row>
    <row r="187" spans="1:6" x14ac:dyDescent="0.25">
      <c r="A187" t="s">
        <v>44</v>
      </c>
      <c r="B187" t="s">
        <v>64</v>
      </c>
      <c r="C187">
        <f>+C186*2</f>
        <v>64</v>
      </c>
      <c r="D187" s="21">
        <v>100</v>
      </c>
      <c r="E187" s="29">
        <f t="shared" si="27"/>
        <v>22725.554823115799</v>
      </c>
      <c r="F187">
        <v>5.42</v>
      </c>
    </row>
    <row r="188" spans="1:6" x14ac:dyDescent="0.25">
      <c r="A188" t="s">
        <v>44</v>
      </c>
      <c r="B188" t="s">
        <v>64</v>
      </c>
      <c r="C188">
        <f t="shared" ref="C188" si="28">+C187*2</f>
        <v>128</v>
      </c>
      <c r="D188" s="21">
        <v>50</v>
      </c>
      <c r="E188" s="29">
        <f t="shared" si="27"/>
        <v>11362.7774115579</v>
      </c>
      <c r="F188">
        <v>3.75</v>
      </c>
    </row>
    <row r="189" spans="1:6" x14ac:dyDescent="0.25">
      <c r="A189" t="s">
        <v>44</v>
      </c>
      <c r="B189" t="s">
        <v>64</v>
      </c>
      <c r="C189">
        <v>167</v>
      </c>
      <c r="D189" s="21">
        <v>38.323</v>
      </c>
      <c r="E189" s="29">
        <f t="shared" si="27"/>
        <v>8709.1143748626673</v>
      </c>
      <c r="F189">
        <v>3.39</v>
      </c>
    </row>
    <row r="190" spans="1:6" x14ac:dyDescent="0.25">
      <c r="A190" t="s">
        <v>44</v>
      </c>
      <c r="B190" t="s">
        <v>64</v>
      </c>
      <c r="C190">
        <v>256</v>
      </c>
      <c r="D190" s="21">
        <v>25</v>
      </c>
      <c r="E190" s="29">
        <f t="shared" si="27"/>
        <v>5681.3887057789498</v>
      </c>
      <c r="F190">
        <v>2.69</v>
      </c>
    </row>
    <row r="191" spans="1:6" x14ac:dyDescent="0.25">
      <c r="A191" t="s">
        <v>44</v>
      </c>
      <c r="B191" t="s">
        <v>64</v>
      </c>
      <c r="C191">
        <v>333</v>
      </c>
      <c r="D191" s="21">
        <v>19.219000000000001</v>
      </c>
      <c r="E191" s="29">
        <f t="shared" si="27"/>
        <v>4367.6243814546251</v>
      </c>
      <c r="F191">
        <v>2.4300000000000002</v>
      </c>
    </row>
    <row r="192" spans="1:6" x14ac:dyDescent="0.25">
      <c r="A192" t="s">
        <v>44</v>
      </c>
      <c r="B192" t="s">
        <v>64</v>
      </c>
      <c r="C192">
        <v>512</v>
      </c>
      <c r="D192" s="21">
        <v>12.5</v>
      </c>
      <c r="E192" s="29">
        <f t="shared" si="27"/>
        <v>2840.6943528894749</v>
      </c>
      <c r="F192">
        <v>1.88</v>
      </c>
    </row>
    <row r="193" spans="1:6" x14ac:dyDescent="0.25">
      <c r="A193" t="s">
        <v>44</v>
      </c>
      <c r="B193" t="s">
        <v>64</v>
      </c>
      <c r="C193">
        <v>667</v>
      </c>
      <c r="D193" s="21">
        <v>9.5950000000000006</v>
      </c>
      <c r="E193" s="29">
        <f t="shared" si="27"/>
        <v>2180.5169852779609</v>
      </c>
      <c r="F193">
        <v>1.67</v>
      </c>
    </row>
    <row r="194" spans="1:6" x14ac:dyDescent="0.25">
      <c r="A194" t="s">
        <v>44</v>
      </c>
      <c r="B194" t="s">
        <v>64</v>
      </c>
      <c r="C194">
        <v>1024</v>
      </c>
      <c r="D194" s="21">
        <v>6.25</v>
      </c>
      <c r="E194" s="29">
        <f t="shared" si="27"/>
        <v>1420.3471764447374</v>
      </c>
      <c r="F194">
        <v>1.34</v>
      </c>
    </row>
    <row r="195" spans="1:6" x14ac:dyDescent="0.25">
      <c r="A195" t="s">
        <v>44</v>
      </c>
      <c r="B195" t="s">
        <v>64</v>
      </c>
      <c r="C195">
        <v>1333</v>
      </c>
      <c r="D195" s="21">
        <v>1.29</v>
      </c>
      <c r="E195" s="29">
        <f t="shared" si="27"/>
        <v>293.15965721819379</v>
      </c>
      <c r="F195">
        <v>1.19</v>
      </c>
    </row>
    <row r="196" spans="1:6" x14ac:dyDescent="0.25">
      <c r="A196" t="s">
        <v>44</v>
      </c>
      <c r="B196" t="s">
        <v>64</v>
      </c>
      <c r="C196">
        <v>2048</v>
      </c>
      <c r="D196" s="21">
        <v>3.125</v>
      </c>
      <c r="E196" s="29">
        <f t="shared" si="27"/>
        <v>710.17358822236872</v>
      </c>
      <c r="F196">
        <v>0.95199999999999996</v>
      </c>
    </row>
    <row r="197" spans="1:6" x14ac:dyDescent="0.25">
      <c r="A197" t="s">
        <v>44</v>
      </c>
      <c r="B197" t="s">
        <v>64</v>
      </c>
      <c r="C197">
        <v>2667</v>
      </c>
      <c r="D197" s="21">
        <v>2.4</v>
      </c>
      <c r="E197" s="29">
        <f t="shared" si="27"/>
        <v>545.41331575477909</v>
      </c>
      <c r="F197">
        <v>0.86699999999999999</v>
      </c>
    </row>
    <row r="198" spans="1:6" x14ac:dyDescent="0.25">
      <c r="A198" t="s">
        <v>44</v>
      </c>
      <c r="B198" t="s">
        <v>64</v>
      </c>
      <c r="C198">
        <v>4096</v>
      </c>
      <c r="D198" s="21">
        <v>1.5629999999999999</v>
      </c>
      <c r="E198" s="29">
        <f t="shared" si="27"/>
        <v>355.20042188529987</v>
      </c>
      <c r="F198">
        <v>0.68100000000000005</v>
      </c>
    </row>
    <row r="199" spans="1:6" x14ac:dyDescent="0.25">
      <c r="A199" t="s">
        <v>44</v>
      </c>
      <c r="B199" t="s">
        <v>64</v>
      </c>
      <c r="C199">
        <v>13333</v>
      </c>
      <c r="D199" s="21">
        <v>0.437</v>
      </c>
      <c r="E199" s="29">
        <f t="shared" si="27"/>
        <v>99.31067457701603</v>
      </c>
      <c r="F199">
        <v>0.6</v>
      </c>
    </row>
    <row r="200" spans="1:6" x14ac:dyDescent="0.25">
      <c r="A200" t="s">
        <v>44</v>
      </c>
      <c r="B200" t="s">
        <v>64</v>
      </c>
      <c r="C200">
        <v>16000</v>
      </c>
      <c r="D200" s="21">
        <v>0.4</v>
      </c>
      <c r="E200" s="29">
        <f t="shared" si="27"/>
        <v>90.902219292463201</v>
      </c>
      <c r="F200">
        <v>0.35599999999999998</v>
      </c>
    </row>
    <row r="201" spans="1:6" x14ac:dyDescent="0.25">
      <c r="A201" t="s">
        <v>44</v>
      </c>
      <c r="B201" t="s">
        <v>64</v>
      </c>
      <c r="C201">
        <v>48000</v>
      </c>
      <c r="D201" s="21">
        <v>0.13300000000000001</v>
      </c>
      <c r="E201" s="29">
        <f t="shared" si="27"/>
        <v>30.224987914744013</v>
      </c>
      <c r="F201">
        <v>0.27400000000000002</v>
      </c>
    </row>
    <row r="202" spans="1:6" x14ac:dyDescent="0.25">
      <c r="A202" t="s">
        <v>44</v>
      </c>
      <c r="B202" t="s">
        <v>64</v>
      </c>
      <c r="C202">
        <v>80000</v>
      </c>
      <c r="D202" s="21">
        <v>0.08</v>
      </c>
      <c r="E202" s="29">
        <f t="shared" si="27"/>
        <v>18.180443858492637</v>
      </c>
      <c r="F202">
        <v>0.20799999999999999</v>
      </c>
    </row>
    <row r="204" spans="1:6" x14ac:dyDescent="0.25">
      <c r="B204" t="s">
        <v>33</v>
      </c>
      <c r="C204" s="26" t="s">
        <v>34</v>
      </c>
      <c r="D204" s="26" t="s">
        <v>37</v>
      </c>
      <c r="E204" s="26" t="s">
        <v>66</v>
      </c>
      <c r="F204" t="s">
        <v>38</v>
      </c>
    </row>
    <row r="205" spans="1:6" x14ac:dyDescent="0.25">
      <c r="A205" t="s">
        <v>44</v>
      </c>
      <c r="B205" t="s">
        <v>65</v>
      </c>
      <c r="C205">
        <v>12</v>
      </c>
      <c r="D205" s="21">
        <v>133.330078125</v>
      </c>
      <c r="E205" s="29">
        <v>30300</v>
      </c>
      <c r="F205">
        <v>63.1</v>
      </c>
    </row>
    <row r="206" spans="1:6" x14ac:dyDescent="0.25">
      <c r="A206" t="s">
        <v>44</v>
      </c>
      <c r="B206" t="s">
        <v>65</v>
      </c>
      <c r="C206">
        <v>16</v>
      </c>
      <c r="D206" s="21">
        <v>100</v>
      </c>
      <c r="E206" s="29">
        <f>+$E$183/($D$183)*D206</f>
        <v>22725.554823115799</v>
      </c>
      <c r="F206">
        <v>24.3</v>
      </c>
    </row>
    <row r="207" spans="1:6" x14ac:dyDescent="0.25">
      <c r="A207" t="s">
        <v>44</v>
      </c>
      <c r="B207" t="s">
        <v>65</v>
      </c>
      <c r="C207">
        <v>24</v>
      </c>
      <c r="D207" s="21">
        <v>66.6669921875</v>
      </c>
      <c r="E207" s="29">
        <f t="shared" ref="E207:E224" si="29">+$E$183/($D$183)*D207</f>
        <v>15150.443858492637</v>
      </c>
      <c r="F207">
        <v>9.9600000000000009</v>
      </c>
    </row>
    <row r="208" spans="1:6" x14ac:dyDescent="0.25">
      <c r="A208" t="s">
        <v>44</v>
      </c>
      <c r="B208" t="s">
        <v>65</v>
      </c>
      <c r="C208">
        <v>32</v>
      </c>
      <c r="D208" s="21">
        <v>50</v>
      </c>
      <c r="E208" s="29">
        <f t="shared" si="29"/>
        <v>11362.7774115579</v>
      </c>
      <c r="F208">
        <v>7.76</v>
      </c>
    </row>
    <row r="209" spans="1:6" x14ac:dyDescent="0.25">
      <c r="A209" t="s">
        <v>44</v>
      </c>
      <c r="B209" t="s">
        <v>65</v>
      </c>
      <c r="C209">
        <f>+C208*2</f>
        <v>64</v>
      </c>
      <c r="D209" s="21">
        <v>25</v>
      </c>
      <c r="E209" s="29">
        <f t="shared" si="29"/>
        <v>5681.3887057789498</v>
      </c>
      <c r="F209">
        <v>5.24</v>
      </c>
    </row>
    <row r="210" spans="1:6" x14ac:dyDescent="0.25">
      <c r="A210" t="s">
        <v>44</v>
      </c>
      <c r="B210" t="s">
        <v>65</v>
      </c>
      <c r="C210">
        <f t="shared" ref="C210:C211" si="30">+C209*2</f>
        <v>128</v>
      </c>
      <c r="D210" s="21">
        <v>12.5</v>
      </c>
      <c r="E210" s="29">
        <f t="shared" si="29"/>
        <v>2840.6943528894749</v>
      </c>
      <c r="F210">
        <v>3.72</v>
      </c>
    </row>
    <row r="211" spans="1:6" x14ac:dyDescent="0.25">
      <c r="A211" t="s">
        <v>44</v>
      </c>
      <c r="B211" t="s">
        <v>65</v>
      </c>
      <c r="C211">
        <f t="shared" si="30"/>
        <v>256</v>
      </c>
      <c r="D211" s="21">
        <v>6.25</v>
      </c>
      <c r="E211" s="29">
        <f t="shared" si="29"/>
        <v>1420.3471764447374</v>
      </c>
      <c r="F211">
        <v>2.61</v>
      </c>
    </row>
    <row r="212" spans="1:6" x14ac:dyDescent="0.25">
      <c r="A212" t="s">
        <v>44</v>
      </c>
      <c r="B212" t="s">
        <v>65</v>
      </c>
      <c r="C212">
        <v>333</v>
      </c>
      <c r="D212" s="21">
        <v>4.8047851562500004</v>
      </c>
      <c r="E212" s="29">
        <f t="shared" si="29"/>
        <v>1091.9140848165239</v>
      </c>
      <c r="F212">
        <v>2.33</v>
      </c>
    </row>
    <row r="213" spans="1:6" x14ac:dyDescent="0.25">
      <c r="A213" t="s">
        <v>44</v>
      </c>
      <c r="B213" t="s">
        <v>65</v>
      </c>
      <c r="C213">
        <v>512</v>
      </c>
      <c r="D213" s="21">
        <v>3.125</v>
      </c>
      <c r="E213" s="29">
        <f t="shared" si="29"/>
        <v>710.17358822236872</v>
      </c>
      <c r="F213">
        <v>1.67</v>
      </c>
    </row>
    <row r="214" spans="1:6" x14ac:dyDescent="0.25">
      <c r="A214" t="s">
        <v>44</v>
      </c>
      <c r="B214" t="s">
        <v>65</v>
      </c>
      <c r="C214">
        <v>667</v>
      </c>
      <c r="D214" s="21">
        <v>2.3988281250000001</v>
      </c>
      <c r="E214" s="29">
        <f t="shared" si="29"/>
        <v>545.14700065919578</v>
      </c>
      <c r="F214">
        <v>1.65</v>
      </c>
    </row>
    <row r="215" spans="1:6" x14ac:dyDescent="0.25">
      <c r="A215" t="s">
        <v>44</v>
      </c>
      <c r="B215" t="s">
        <v>65</v>
      </c>
      <c r="C215">
        <v>1024</v>
      </c>
      <c r="D215" s="21">
        <v>1.5625</v>
      </c>
      <c r="E215" s="29">
        <f t="shared" si="29"/>
        <v>355.08679411118436</v>
      </c>
      <c r="F215">
        <v>1.31</v>
      </c>
    </row>
    <row r="216" spans="1:6" x14ac:dyDescent="0.25">
      <c r="A216" t="s">
        <v>44</v>
      </c>
      <c r="B216" t="s">
        <v>65</v>
      </c>
      <c r="C216">
        <v>1333</v>
      </c>
      <c r="D216" s="21">
        <v>1.2002929687500001</v>
      </c>
      <c r="E216" s="29">
        <f t="shared" si="29"/>
        <v>272.77323665128546</v>
      </c>
      <c r="F216">
        <v>1.17</v>
      </c>
    </row>
    <row r="217" spans="1:6" x14ac:dyDescent="0.25">
      <c r="A217" t="s">
        <v>44</v>
      </c>
      <c r="B217" t="s">
        <v>65</v>
      </c>
      <c r="C217">
        <v>2048</v>
      </c>
      <c r="D217" s="21">
        <v>0.78125</v>
      </c>
      <c r="E217" s="29">
        <f t="shared" si="29"/>
        <v>177.54339705559218</v>
      </c>
      <c r="F217">
        <v>0.93500000000000005</v>
      </c>
    </row>
    <row r="218" spans="1:6" x14ac:dyDescent="0.25">
      <c r="A218" t="s">
        <v>44</v>
      </c>
      <c r="B218" t="s">
        <v>65</v>
      </c>
      <c r="C218">
        <v>2667</v>
      </c>
      <c r="D218" s="21">
        <v>0.59990234375000007</v>
      </c>
      <c r="E218" s="29">
        <f t="shared" si="29"/>
        <v>136.33113601406285</v>
      </c>
      <c r="F218">
        <v>0.84399999999999997</v>
      </c>
    </row>
    <row r="219" spans="1:6" x14ac:dyDescent="0.25">
      <c r="A219" t="s">
        <v>44</v>
      </c>
      <c r="B219" t="s">
        <v>65</v>
      </c>
      <c r="C219">
        <v>4096</v>
      </c>
      <c r="D219" s="21">
        <v>0.390625</v>
      </c>
      <c r="E219" s="29">
        <f t="shared" si="29"/>
        <v>88.77169852779609</v>
      </c>
      <c r="F219">
        <v>0.64900000000000002</v>
      </c>
    </row>
    <row r="220" spans="1:6" x14ac:dyDescent="0.25">
      <c r="A220" t="s">
        <v>44</v>
      </c>
      <c r="B220" t="s">
        <v>65</v>
      </c>
      <c r="C220">
        <v>5333</v>
      </c>
      <c r="D220" s="21">
        <v>0.30000000000000004</v>
      </c>
      <c r="E220" s="29">
        <f t="shared" si="29"/>
        <v>68.176664469347401</v>
      </c>
      <c r="F220">
        <v>0.60399999999999998</v>
      </c>
    </row>
    <row r="221" spans="1:6" x14ac:dyDescent="0.25">
      <c r="A221" t="s">
        <v>44</v>
      </c>
      <c r="B221" t="s">
        <v>65</v>
      </c>
      <c r="C221">
        <v>26667</v>
      </c>
      <c r="D221" s="21">
        <v>5.9960937499999999E-2</v>
      </c>
      <c r="E221" s="29">
        <f t="shared" si="29"/>
        <v>13.626455724016699</v>
      </c>
      <c r="F221">
        <v>0.316</v>
      </c>
    </row>
    <row r="222" spans="1:6" x14ac:dyDescent="0.25">
      <c r="A222" t="s">
        <v>44</v>
      </c>
      <c r="B222" t="s">
        <v>65</v>
      </c>
      <c r="C222">
        <v>32000</v>
      </c>
      <c r="D222" s="21">
        <v>0.05</v>
      </c>
      <c r="E222" s="29">
        <f t="shared" si="29"/>
        <v>11.3627774115579</v>
      </c>
      <c r="F222">
        <v>0.28999999999999998</v>
      </c>
    </row>
    <row r="223" spans="1:6" x14ac:dyDescent="0.25">
      <c r="A223" t="s">
        <v>44</v>
      </c>
      <c r="B223" t="s">
        <v>65</v>
      </c>
      <c r="C223">
        <v>96000</v>
      </c>
      <c r="D223" s="21">
        <v>1.66669921875E-2</v>
      </c>
      <c r="E223" s="29">
        <f t="shared" si="29"/>
        <v>3.7876664469347396</v>
      </c>
      <c r="F223">
        <v>0.245</v>
      </c>
    </row>
    <row r="224" spans="1:6" x14ac:dyDescent="0.25">
      <c r="A224" t="s">
        <v>44</v>
      </c>
      <c r="B224" t="s">
        <v>65</v>
      </c>
      <c r="C224">
        <v>160000</v>
      </c>
      <c r="D224" s="21">
        <v>9.960937500000001E-3</v>
      </c>
      <c r="E224" s="29">
        <f t="shared" si="29"/>
        <v>2.2636783124588002</v>
      </c>
      <c r="F224">
        <v>0.24299999999999999</v>
      </c>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3A7C50-5A41-4586-93E8-A0E60287A0A9}">
  <sheetPr codeName="Sheet4"/>
  <dimension ref="A1:W33"/>
  <sheetViews>
    <sheetView workbookViewId="0">
      <selection activeCell="K10" sqref="K10"/>
    </sheetView>
  </sheetViews>
  <sheetFormatPr defaultRowHeight="15" x14ac:dyDescent="0.25"/>
  <cols>
    <col min="1" max="1" width="26.85546875" customWidth="1"/>
    <col min="2" max="2" width="24.5703125" customWidth="1"/>
    <col min="3" max="3" width="19.28515625" customWidth="1"/>
    <col min="5" max="5" width="17.42578125" customWidth="1"/>
    <col min="10" max="23" width="20.7109375" customWidth="1"/>
  </cols>
  <sheetData>
    <row r="1" spans="1:23" ht="23.25" x14ac:dyDescent="0.25">
      <c r="A1" s="25" t="s">
        <v>22</v>
      </c>
      <c r="E1" s="25" t="s">
        <v>43</v>
      </c>
      <c r="F1" s="18"/>
      <c r="K1" s="25" t="s">
        <v>78</v>
      </c>
    </row>
    <row r="2" spans="1:23" x14ac:dyDescent="0.25">
      <c r="B2" s="182" t="s">
        <v>26</v>
      </c>
      <c r="C2" s="182" t="s">
        <v>27</v>
      </c>
      <c r="F2" s="18"/>
    </row>
    <row r="3" spans="1:23" x14ac:dyDescent="0.25">
      <c r="B3" s="182"/>
      <c r="C3" s="182"/>
      <c r="F3" s="18"/>
      <c r="K3" t="s">
        <v>80</v>
      </c>
      <c r="L3" t="s">
        <v>81</v>
      </c>
    </row>
    <row r="4" spans="1:23" ht="18.75" x14ac:dyDescent="0.35">
      <c r="A4" s="22" t="s">
        <v>13</v>
      </c>
      <c r="B4" s="22" t="s">
        <v>15</v>
      </c>
      <c r="C4" s="19" t="s">
        <v>16</v>
      </c>
      <c r="E4" s="18" t="s">
        <v>77</v>
      </c>
      <c r="J4" t="s">
        <v>79</v>
      </c>
      <c r="K4" s="56" t="e">
        <f>IF(Digital_Filter="L11_WB_HighSpeed",25.6,IF(Digital_Filter="L11_WB_LowSpeed",3.2,IF(Digital_Filter="L11_Sinc4_HighSpeed",25.6,IF(Digital_Filter="L11_Sinc4_LowSpeed",3,NA))))</f>
        <v>#NAME?</v>
      </c>
      <c r="L4" s="54">
        <f>IF(Digital_Filter="L21_WB_MaxSpeed",32.768, IF(Digital_Filter="L21_WB_HighSpeed",25.6,IF(Digital_Filter="L21_WB_MidSpeed",12.8,IF(Digital_Filter="L21_WB_LowSpeed",3.2,IF(Digital_Filter="L21_Sinc4_MaxSpeed",32.768,IF(Digital_Filter="L21_Sinc4_HighSpeed",25.6,IF(Digital_Filter="L21_Sinc4_MidSpeed",12.8,IF(Digital_Filter="L21_Sinc4_LowSpeed",3.2,NA))))))))</f>
        <v>25.6</v>
      </c>
    </row>
    <row r="5" spans="1:23" ht="18.75" x14ac:dyDescent="0.25">
      <c r="A5" s="20">
        <v>0.125</v>
      </c>
      <c r="B5" s="20">
        <f>1000</f>
        <v>1000</v>
      </c>
      <c r="C5" s="20">
        <v>168</v>
      </c>
      <c r="E5" s="18" t="s">
        <v>68</v>
      </c>
      <c r="J5" s="36" t="s">
        <v>18</v>
      </c>
      <c r="K5" s="57" t="b">
        <f>IF(Digital_Filter="L11_WB_HighSpeed",+VLOOKUP(VALUE(Data_Rate), L11_Tab_WBHS,2,FALSE),IF(Digital_Filter="L11_WB_LowSpeed",+VLOOKUP(VALUE(Data_Rate), L11_Tab_WBLS,2,FALSE),IF(Digital_Filter="L11_Sinc4_HighSpeed",+VLOOKUP(VALUE(Data_Rate), L11_Tab_Sinc4HS,2,FALSE), IF(Digital_Filter="L11_Sinc4_LowSpeed",+VLOOKUP(VALUE(Data_Rate), L11_Tab_Sinc4LS,2,FALSE)))))</f>
        <v>0</v>
      </c>
      <c r="L5" s="37">
        <f>IF(Digital_Filter="L21_WB_MaxSpeed",+VLOOKUP(VALUE(Data_Rate), L21_Tab_WBMax,2,FALSE),IF(Digital_Filter="L21_WB_HighSpeed",+VLOOKUP(VALUE(Data_Rate), L21_Tab_WBHS,2,FALSE),IF(Digital_Filter="L21_WB_MidSpeed",+VLOOKUP(VALUE(Data_Rate), L21_Tab_WBMid,2,FALSE),IF(Digital_Filter="L21_WB_LowSpeed",+VLOOKUP(VALUE(Data_Rate), L21_Tab_WBLS,2,FALSE),IF(Digital_Filter="L21_Sinc4_MaxSpeed",+VLOOKUP(VALUE(Data_Rate), L21_Tab_Sinc4Max,2,FALSE),IF(Digital_Filter="L21_Sinc4_HighSpeed",+VLOOKUP(VALUE(Data_Rate), L21_Tab_Sinc4HS,2,FALSE),IF(Digital_Filter="L21_Sinc4_MidSpeed",+VLOOKUP(VALUE(Data_Rate), L21_Tab_Sinc4Mid,2,FALSE),IF(Digital_Filter="L21_Sinc4_LowSpeed",+VLOOKUP(VALUE(Data_Rate), L21_Tab_Sinc4LS,2,FALSE)))))))))</f>
        <v>45432.35918845675</v>
      </c>
    </row>
    <row r="6" spans="1:23" ht="18.75" x14ac:dyDescent="0.25">
      <c r="A6" s="23">
        <v>0.25</v>
      </c>
      <c r="B6" s="23">
        <v>500</v>
      </c>
      <c r="C6" s="23">
        <v>84</v>
      </c>
      <c r="E6" s="18" t="s">
        <v>67</v>
      </c>
      <c r="J6" s="33" t="s">
        <v>20</v>
      </c>
      <c r="K6" s="58" t="b">
        <f>IF(Digital_Filter="L11_WB_HighSpeed",+VLOOKUP(VALUE(Data_Rate), L11_Tab_WBHS,3,FALSE),IF(Digital_Filter="L11_WB_LowSpeed",+VLOOKUP(VALUE(Data_Rate), L11_Tab_WBLS,3,FALSE),IF(Digital_Filter="L11_Sinc4_HighSpeed",+VLOOKUP(VALUE(Data_Rate), L11_Tab_Sinc4HS,3,FALSE), IF(Digital_Filter="L11_Sinc4_LowSpeed",+VLOOKUP(VALUE(Data_Rate), L11_Tab_Sinc4LS,3,FALSE)))))</f>
        <v>0</v>
      </c>
      <c r="L6" s="59">
        <f>IF(Digital_Filter="L21_WB_MaxSpeed",+VLOOKUP(VALUE(Data_Rate), L21_Tab_WBMax,3,FALSE),IF(Digital_Filter="L21_WB_HighSpeed",+VLOOKUP(VALUE(Data_Rate), L21_Tab_WBHS,3,FALSE),IF(Digital_Filter="L21_WB_MidSpeed",+VLOOKUP(VALUE(Data_Rate), L21_Tab_WBMid,3,FALSE),IF(Digital_Filter="L21_WB_LowSpeed",+VLOOKUP(VALUE(Data_Rate), L21_Tab_WBLS,3,FALSE),IF(Digital_Filter="L21_Sinc4_MaxSpeed",+VLOOKUP(VALUE(Data_Rate), L21_Tab_Sinc4Max,3,FALSE),IF(Digital_Filter="L21_Sinc4_HighSpeed",+VLOOKUP(VALUE(Data_Rate), L21_Tab_Sinc4HS,3,FALSE),IF(Digital_Filter="L21_Sinc4_MidSpeed",+VLOOKUP(VALUE(Data_Rate), L21_Tab_Sinc4Mid,3,FALSE),IF(Digital_Filter="L21_Sinc4_LowSpeed",+VLOOKUP(VALUE(Data_Rate), L21_Tab_Sinc4LS,3,FALSE)))))))))</f>
        <v>5.53</v>
      </c>
    </row>
    <row r="7" spans="1:23" x14ac:dyDescent="0.25">
      <c r="A7" s="20">
        <v>0.5</v>
      </c>
      <c r="B7" s="20">
        <v>250</v>
      </c>
      <c r="C7" s="20">
        <v>42</v>
      </c>
    </row>
    <row r="8" spans="1:23" x14ac:dyDescent="0.25">
      <c r="A8" s="23">
        <v>1</v>
      </c>
      <c r="B8" s="23">
        <v>130</v>
      </c>
      <c r="C8" s="23">
        <v>21.6</v>
      </c>
      <c r="E8" t="s">
        <v>88</v>
      </c>
    </row>
    <row r="9" spans="1:23" x14ac:dyDescent="0.25">
      <c r="A9" s="20">
        <v>2</v>
      </c>
      <c r="B9" s="20">
        <v>70</v>
      </c>
      <c r="C9" s="20">
        <v>12.6</v>
      </c>
    </row>
    <row r="10" spans="1:23" ht="18.75" x14ac:dyDescent="0.3">
      <c r="A10" s="23">
        <v>4</v>
      </c>
      <c r="B10" s="23">
        <v>45</v>
      </c>
      <c r="C10" s="23">
        <v>8.6</v>
      </c>
      <c r="J10" s="35" t="s">
        <v>32</v>
      </c>
      <c r="K10" s="38">
        <f>+REF_Voltage*2</f>
        <v>8.1920000000000002</v>
      </c>
      <c r="L10" s="35" t="s">
        <v>19</v>
      </c>
    </row>
    <row r="11" spans="1:23" ht="18.75" x14ac:dyDescent="0.3">
      <c r="A11" s="20">
        <v>8</v>
      </c>
      <c r="B11" s="20">
        <v>37</v>
      </c>
      <c r="C11" s="20">
        <v>8</v>
      </c>
      <c r="J11" s="35" t="s">
        <v>30</v>
      </c>
      <c r="K11" s="38">
        <f>1/SQRT(2)*REF_Voltage</f>
        <v>2.8963093757400986</v>
      </c>
      <c r="L11" s="35" t="s">
        <v>31</v>
      </c>
    </row>
    <row r="12" spans="1:23" x14ac:dyDescent="0.25">
      <c r="A12" s="24">
        <v>16</v>
      </c>
      <c r="B12" s="24">
        <v>35</v>
      </c>
      <c r="C12" s="24">
        <v>7.8</v>
      </c>
    </row>
    <row r="14" spans="1:23" ht="56.25" x14ac:dyDescent="0.25">
      <c r="A14" s="25" t="s">
        <v>46</v>
      </c>
      <c r="B14" t="s">
        <v>106</v>
      </c>
      <c r="J14" s="39" t="s">
        <v>13</v>
      </c>
      <c r="K14" s="73" t="s">
        <v>95</v>
      </c>
      <c r="L14" s="73" t="s">
        <v>96</v>
      </c>
      <c r="M14" s="32" t="s">
        <v>70</v>
      </c>
      <c r="N14" s="39" t="s">
        <v>71</v>
      </c>
      <c r="O14" s="40" t="s">
        <v>23</v>
      </c>
      <c r="P14" s="41" t="s">
        <v>24</v>
      </c>
      <c r="Q14" s="42" t="s">
        <v>14</v>
      </c>
      <c r="R14" s="43" t="s">
        <v>17</v>
      </c>
      <c r="S14" s="73" t="s">
        <v>93</v>
      </c>
      <c r="T14" s="73" t="s">
        <v>94</v>
      </c>
      <c r="U14" s="32" t="s">
        <v>85</v>
      </c>
      <c r="V14" s="39" t="s">
        <v>86</v>
      </c>
      <c r="W14" s="39" t="s">
        <v>87</v>
      </c>
    </row>
    <row r="15" spans="1:23" ht="18.75" x14ac:dyDescent="0.25">
      <c r="A15" s="60" t="s">
        <v>21</v>
      </c>
      <c r="B15">
        <v>2.5</v>
      </c>
      <c r="J15" s="44">
        <v>0.125</v>
      </c>
      <c r="K15" s="70">
        <f t="shared" ref="K15:K22" si="0">+S15*J15</f>
        <v>0</v>
      </c>
      <c r="L15" s="70">
        <f t="shared" ref="L15:L22" si="1">+T15*J15</f>
        <v>1.2434307273154258E-2</v>
      </c>
      <c r="M15" s="34">
        <f>'PGA855_Noise_Specs and Calc'!$B5*SQRT(0.2)*SQRT(LN(Sys_Noise_BW/0.2))/1000*J15</f>
        <v>0.19632098875333265</v>
      </c>
      <c r="N15" s="34">
        <f>+'PGA855_Noise_Specs and Calc'!$C5*SQRT(Sys_Noise_BW)/1000*J15</f>
        <v>4.4761222505768794</v>
      </c>
      <c r="O15" s="34">
        <f>+SQRT(M15^2+N15^2+K15^2+L15^2)</f>
        <v>4.4804427174925339</v>
      </c>
      <c r="P15" s="45">
        <f>+SQRT(REF_Noise^2+ADC_Noise^2+O15^2+M26^2)</f>
        <v>8.648831343287414</v>
      </c>
      <c r="Q15" s="45">
        <f>20*LOG(FSR_rms/(P15/1000000))</f>
        <v>110.4977504382754</v>
      </c>
      <c r="R15" s="45">
        <f t="shared" ref="R15:R22" si="2">LOG(+FSR_pp/(P15*0.000001))/LOG(2)</f>
        <v>19.853279080137973</v>
      </c>
      <c r="S15" s="70">
        <v>0</v>
      </c>
      <c r="T15" s="70">
        <f t="shared" ref="T15:T22" si="3">+SQRT(2*(Rin_Eq*iN_BB*0.000000000001)^2)*SQRT(Sys_Noise_BW)*1000000</f>
        <v>9.9474458185234066E-2</v>
      </c>
      <c r="U15" s="34">
        <f>'PGA855_Noise_Specs and Calc'!$B5*SQRT(0.2)*SQRT(LN(Sys_Noise_BW/0.2))/1000</f>
        <v>1.5705679100266612</v>
      </c>
      <c r="V15" s="61">
        <f>+'PGA855_Noise_Specs and Calc'!$C5*SQRT(Sys_Noise_BW)/1000</f>
        <v>35.808978004615035</v>
      </c>
      <c r="W15" s="61">
        <f>+SQRT(+S15^2+T15^2+U15^2+V15^2)</f>
        <v>35.843541739940271</v>
      </c>
    </row>
    <row r="16" spans="1:23" ht="18.75" x14ac:dyDescent="0.25">
      <c r="A16" s="60" t="s">
        <v>47</v>
      </c>
      <c r="B16">
        <v>4.0960000000000001</v>
      </c>
      <c r="J16" s="46">
        <v>0.25</v>
      </c>
      <c r="K16" s="71">
        <f t="shared" si="0"/>
        <v>0</v>
      </c>
      <c r="L16" s="71">
        <f t="shared" si="1"/>
        <v>2.4868614546308516E-2</v>
      </c>
      <c r="M16" s="34">
        <f>'PGA855_Noise_Specs and Calc'!$B6*SQRT(0.2)*SQRT(LN(Sys_Noise_BW/0.2))/1000*J16</f>
        <v>0.19632098875333265</v>
      </c>
      <c r="N16" s="34">
        <f>+'PGA855_Noise_Specs and Calc'!$C6*SQRT(Sys_Noise_BW)/1000*J16</f>
        <v>4.4761222505768794</v>
      </c>
      <c r="O16" s="34">
        <f t="shared" ref="O16:O22" si="4">+SQRT(M16^2+N16^2+K16^2+L16^2)</f>
        <v>4.4804944794881703</v>
      </c>
      <c r="P16" s="47">
        <f t="shared" ref="P16:P22" si="5">+SQRT(REF_Noise^2+ADC_Noise^2+O16^2+M27^2)</f>
        <v>8.6533179748586662</v>
      </c>
      <c r="Q16" s="47">
        <f t="shared" ref="Q16:Q22" si="6">20*LOG(FSR_rms/(P16/1000000))</f>
        <v>110.49324575081359</v>
      </c>
      <c r="R16" s="47">
        <f t="shared" si="2"/>
        <v>19.852530867746065</v>
      </c>
      <c r="S16" s="71">
        <v>0</v>
      </c>
      <c r="T16" s="71">
        <f t="shared" si="3"/>
        <v>9.9474458185234066E-2</v>
      </c>
      <c r="U16" s="34">
        <f>'PGA855_Noise_Specs and Calc'!$B6*SQRT(0.2)*SQRT(LN(Sys_Noise_BW/0.2))/1000</f>
        <v>0.78528395501333059</v>
      </c>
      <c r="V16" s="61">
        <f>+'PGA855_Noise_Specs and Calc'!$C6*SQRT(Sys_Noise_BW)/1000</f>
        <v>17.904489002307518</v>
      </c>
      <c r="W16" s="61">
        <f t="shared" ref="W16:W22" si="7">+SQRT(+S16^2+T16^2+U16^2+V16^2)</f>
        <v>17.921977917952681</v>
      </c>
    </row>
    <row r="17" spans="1:23" ht="18.75" x14ac:dyDescent="0.25">
      <c r="J17" s="48">
        <v>0.5</v>
      </c>
      <c r="K17" s="72">
        <f t="shared" si="0"/>
        <v>0</v>
      </c>
      <c r="L17" s="72">
        <f t="shared" si="1"/>
        <v>4.9737229092617033E-2</v>
      </c>
      <c r="M17" s="34">
        <f>'PGA855_Noise_Specs and Calc'!$B7*SQRT(0.2)*SQRT(LN(Sys_Noise_BW/0.2))/1000*J17</f>
        <v>0.19632098875333265</v>
      </c>
      <c r="N17" s="34">
        <f>+'PGA855_Noise_Specs and Calc'!$C7*SQRT(Sys_Noise_BW)/1000*J17</f>
        <v>4.4761222505768794</v>
      </c>
      <c r="O17" s="34">
        <f t="shared" si="4"/>
        <v>4.4807015214910626</v>
      </c>
      <c r="P17" s="49">
        <f t="shared" si="5"/>
        <v>8.6712412866634825</v>
      </c>
      <c r="Q17" s="49">
        <f t="shared" si="6"/>
        <v>110.47527358061549</v>
      </c>
      <c r="R17" s="49">
        <f t="shared" si="2"/>
        <v>19.849545754890709</v>
      </c>
      <c r="S17" s="72">
        <v>0</v>
      </c>
      <c r="T17" s="72">
        <f t="shared" si="3"/>
        <v>9.9474458185234066E-2</v>
      </c>
      <c r="U17" s="34">
        <f>'PGA855_Noise_Specs and Calc'!$B7*SQRT(0.2)*SQRT(LN(Sys_Noise_BW/0.2))/1000</f>
        <v>0.3926419775066653</v>
      </c>
      <c r="V17" s="61">
        <f>+'PGA855_Noise_Specs and Calc'!$C7*SQRT(Sys_Noise_BW)/1000</f>
        <v>8.9522445011537588</v>
      </c>
      <c r="W17" s="61">
        <f t="shared" si="7"/>
        <v>8.9614030429821252</v>
      </c>
    </row>
    <row r="18" spans="1:23" ht="23.25" x14ac:dyDescent="0.25">
      <c r="A18" s="25" t="s">
        <v>89</v>
      </c>
      <c r="J18" s="50">
        <v>1</v>
      </c>
      <c r="K18" s="71">
        <f t="shared" si="0"/>
        <v>0</v>
      </c>
      <c r="L18" s="71">
        <f t="shared" si="1"/>
        <v>9.9474458185234066E-2</v>
      </c>
      <c r="M18" s="34">
        <f>'PGA855_Noise_Specs and Calc'!$B8*SQRT(0.2)*SQRT(LN(Sys_Noise_BW/0.2))/1000*J18</f>
        <v>0.20417382830346595</v>
      </c>
      <c r="N18" s="34">
        <f>+'PGA855_Noise_Specs and Calc'!$C8*SQRT(Sys_Noise_BW)/1000*J18</f>
        <v>4.6040114577362194</v>
      </c>
      <c r="O18" s="34">
        <f t="shared" si="4"/>
        <v>4.6096099209110664</v>
      </c>
      <c r="P18" s="47">
        <f t="shared" si="5"/>
        <v>8.8089088702310061</v>
      </c>
      <c r="Q18" s="47">
        <f t="shared" si="6"/>
        <v>110.33845665963916</v>
      </c>
      <c r="R18" s="47">
        <f t="shared" si="2"/>
        <v>19.826820956208348</v>
      </c>
      <c r="S18" s="71">
        <v>0</v>
      </c>
      <c r="T18" s="71">
        <f t="shared" si="3"/>
        <v>9.9474458185234066E-2</v>
      </c>
      <c r="U18" s="34">
        <f>'PGA855_Noise_Specs and Calc'!$B8*SQRT(0.2)*SQRT(LN(Sys_Noise_BW/0.2))/1000</f>
        <v>0.20417382830346595</v>
      </c>
      <c r="V18" s="61">
        <f>+'PGA855_Noise_Specs and Calc'!$C8*SQRT(Sys_Noise_BW)/1000</f>
        <v>4.6040114577362194</v>
      </c>
      <c r="W18" s="61">
        <f t="shared" si="7"/>
        <v>4.6096099209110664</v>
      </c>
    </row>
    <row r="19" spans="1:23" ht="18.75" x14ac:dyDescent="0.25">
      <c r="A19" s="182" t="s">
        <v>90</v>
      </c>
      <c r="B19" s="182" t="s">
        <v>27</v>
      </c>
      <c r="J19" s="51">
        <v>2</v>
      </c>
      <c r="K19" s="72">
        <f t="shared" si="0"/>
        <v>0</v>
      </c>
      <c r="L19" s="72">
        <f t="shared" si="1"/>
        <v>0.19894891637046813</v>
      </c>
      <c r="M19" s="34">
        <f>'PGA855_Noise_Specs and Calc'!$B9*SQRT(0.2)*SQRT(LN(Sys_Noise_BW/0.2))/1000*J19</f>
        <v>0.21987950740373255</v>
      </c>
      <c r="N19" s="34">
        <f>+'PGA855_Noise_Specs and Calc'!$C9*SQRT(Sys_Noise_BW)/1000*J19</f>
        <v>5.3713467006922544</v>
      </c>
      <c r="O19" s="34">
        <f t="shared" si="4"/>
        <v>5.3795253552835547</v>
      </c>
      <c r="P19" s="49">
        <f t="shared" si="5"/>
        <v>9.4987470250619026</v>
      </c>
      <c r="Q19" s="49">
        <f t="shared" si="6"/>
        <v>109.68357257270702</v>
      </c>
      <c r="R19" s="49">
        <f t="shared" si="2"/>
        <v>19.718047063844619</v>
      </c>
      <c r="S19" s="72">
        <v>0</v>
      </c>
      <c r="T19" s="72">
        <f t="shared" si="3"/>
        <v>9.9474458185234066E-2</v>
      </c>
      <c r="U19" s="34">
        <f>'PGA855_Noise_Specs and Calc'!$B9*SQRT(0.2)*SQRT(LN(Sys_Noise_BW/0.2))/1000</f>
        <v>0.10993975370186627</v>
      </c>
      <c r="V19" s="61">
        <f>+'PGA855_Noise_Specs and Calc'!$C9*SQRT(Sys_Noise_BW)/1000</f>
        <v>2.6856733503461272</v>
      </c>
      <c r="W19" s="61">
        <f t="shared" si="7"/>
        <v>2.6897626776417773</v>
      </c>
    </row>
    <row r="20" spans="1:23" ht="18.75" x14ac:dyDescent="0.25">
      <c r="A20" s="183"/>
      <c r="B20" s="182"/>
      <c r="J20" s="50">
        <v>4</v>
      </c>
      <c r="K20" s="71">
        <f t="shared" si="0"/>
        <v>0</v>
      </c>
      <c r="L20" s="71">
        <f t="shared" si="1"/>
        <v>0.39789783274093626</v>
      </c>
      <c r="M20" s="34">
        <f>'PGA855_Noise_Specs and Calc'!$B10*SQRT(0.2)*SQRT(LN(Sys_Noise_BW/0.2))/1000*J20</f>
        <v>0.28270222380479904</v>
      </c>
      <c r="N20" s="34">
        <f>+'PGA855_Noise_Specs and Calc'!$C10*SQRT(Sys_Noise_BW)/1000*J20</f>
        <v>7.3323145438021253</v>
      </c>
      <c r="O20" s="34">
        <f t="shared" si="4"/>
        <v>7.3485426991952822</v>
      </c>
      <c r="P20" s="47">
        <f t="shared" si="5"/>
        <v>11.620761693947763</v>
      </c>
      <c r="Q20" s="47">
        <f t="shared" si="6"/>
        <v>107.93220709802031</v>
      </c>
      <c r="R20" s="47">
        <f t="shared" si="2"/>
        <v>19.427151555105745</v>
      </c>
      <c r="S20" s="71">
        <v>0</v>
      </c>
      <c r="T20" s="71">
        <f t="shared" si="3"/>
        <v>9.9474458185234066E-2</v>
      </c>
      <c r="U20" s="34">
        <f>'PGA855_Noise_Specs and Calc'!$B10*SQRT(0.2)*SQRT(LN(Sys_Noise_BW/0.2))/1000</f>
        <v>7.0675555951199759E-2</v>
      </c>
      <c r="V20" s="61">
        <f>+'PGA855_Noise_Specs and Calc'!$C10*SQRT(Sys_Noise_BW)/1000</f>
        <v>1.8330786359505313</v>
      </c>
      <c r="W20" s="61">
        <f t="shared" si="7"/>
        <v>1.8371356747988206</v>
      </c>
    </row>
    <row r="21" spans="1:23" ht="18.75" x14ac:dyDescent="0.25">
      <c r="A21" s="69" t="s">
        <v>92</v>
      </c>
      <c r="B21" s="69" t="s">
        <v>91</v>
      </c>
      <c r="J21" s="51">
        <v>8</v>
      </c>
      <c r="K21" s="72">
        <f t="shared" si="0"/>
        <v>0</v>
      </c>
      <c r="L21" s="72">
        <f t="shared" si="1"/>
        <v>0.79579566548187253</v>
      </c>
      <c r="M21" s="34">
        <f>'PGA855_Noise_Specs and Calc'!$B11*SQRT(0.2)*SQRT(LN(Sys_Noise_BW/0.2))/1000*J21</f>
        <v>0.46488810136789166</v>
      </c>
      <c r="N21" s="34">
        <f>+'PGA855_Noise_Specs and Calc'!$C11*SQRT(Sys_Noise_BW)/1000*J21</f>
        <v>13.641515430329537</v>
      </c>
      <c r="O21" s="34">
        <f t="shared" si="4"/>
        <v>13.672613317281815</v>
      </c>
      <c r="P21" s="49">
        <f t="shared" si="5"/>
        <v>18.627878560375954</v>
      </c>
      <c r="Q21" s="49">
        <f t="shared" si="6"/>
        <v>103.83363104272246</v>
      </c>
      <c r="R21" s="49">
        <f t="shared" si="2"/>
        <v>18.746392807749416</v>
      </c>
      <c r="S21" s="72">
        <v>0</v>
      </c>
      <c r="T21" s="72">
        <f t="shared" si="3"/>
        <v>9.9474458185234066E-2</v>
      </c>
      <c r="U21" s="34">
        <f>'PGA855_Noise_Specs and Calc'!$B11*SQRT(0.2)*SQRT(LN(Sys_Noise_BW/0.2))/1000</f>
        <v>5.8111012670986457E-2</v>
      </c>
      <c r="V21" s="61">
        <f>+'PGA855_Noise_Specs and Calc'!$C11*SQRT(Sys_Noise_BW)/1000</f>
        <v>1.7051894287911922</v>
      </c>
      <c r="W21" s="61">
        <f t="shared" si="7"/>
        <v>1.7090766646602269</v>
      </c>
    </row>
    <row r="22" spans="1:23" ht="19.5" thickBot="1" x14ac:dyDescent="0.3">
      <c r="A22" s="20">
        <v>3.2</v>
      </c>
      <c r="B22" s="20">
        <v>0.3</v>
      </c>
      <c r="J22" s="52">
        <v>16</v>
      </c>
      <c r="K22" s="74">
        <f t="shared" si="0"/>
        <v>0</v>
      </c>
      <c r="L22" s="74">
        <f t="shared" si="1"/>
        <v>1.5915913309637451</v>
      </c>
      <c r="M22" s="34">
        <f>'PGA855_Noise_Specs and Calc'!$B12*SQRT(0.2)*SQRT(LN(Sys_Noise_BW/0.2))/1000*J22</f>
        <v>0.8795180296149302</v>
      </c>
      <c r="N22" s="34">
        <f>+'PGA855_Noise_Specs and Calc'!$C12*SQRT(Sys_Noise_BW)/1000*J22</f>
        <v>26.600955089142598</v>
      </c>
      <c r="O22" s="34">
        <f t="shared" si="4"/>
        <v>26.663036709718536</v>
      </c>
      <c r="P22" s="53">
        <f t="shared" si="5"/>
        <v>34.453460785272348</v>
      </c>
      <c r="Q22" s="53">
        <f t="shared" si="6"/>
        <v>98.492241952758576</v>
      </c>
      <c r="R22" s="53">
        <f t="shared" si="2"/>
        <v>17.85920728356562</v>
      </c>
      <c r="S22" s="74">
        <v>0</v>
      </c>
      <c r="T22" s="74">
        <f t="shared" si="3"/>
        <v>9.9474458185234066E-2</v>
      </c>
      <c r="U22" s="34">
        <f>'PGA855_Noise_Specs and Calc'!$B12*SQRT(0.2)*SQRT(LN(Sys_Noise_BW/0.2))/1000</f>
        <v>5.4969876850933137E-2</v>
      </c>
      <c r="V22" s="61">
        <f>+'PGA855_Noise_Specs and Calc'!$C12*SQRT(Sys_Noise_BW)/1000</f>
        <v>1.6625596930714124</v>
      </c>
      <c r="W22" s="61">
        <f t="shared" si="7"/>
        <v>1.6664397943574085</v>
      </c>
    </row>
    <row r="23" spans="1:23" ht="15.75" thickTop="1" x14ac:dyDescent="0.25"/>
    <row r="25" spans="1:23" ht="56.25" x14ac:dyDescent="0.25">
      <c r="J25" s="76" t="s">
        <v>13</v>
      </c>
      <c r="K25" s="77" t="s">
        <v>97</v>
      </c>
      <c r="L25" s="77" t="s">
        <v>98</v>
      </c>
      <c r="M25" s="77" t="s">
        <v>99</v>
      </c>
      <c r="N25" s="77" t="s">
        <v>124</v>
      </c>
      <c r="O25" s="77" t="s">
        <v>120</v>
      </c>
      <c r="P25" s="113" t="s">
        <v>126</v>
      </c>
    </row>
    <row r="26" spans="1:23" ht="18.75" x14ac:dyDescent="0.25">
      <c r="J26" s="63">
        <v>0.125</v>
      </c>
      <c r="K26" s="75">
        <f t="shared" ref="K26:K33" si="8">+SQRT(2*4*Rin_Eq*1.381E-23*298.15*Sys_Noise_BW)*1000000</f>
        <v>1.2830341820480233</v>
      </c>
      <c r="L26" s="75">
        <f>+SQRT(K26^2+Source_Noise^2)</f>
        <v>1.2830341820480233</v>
      </c>
      <c r="M26" s="75">
        <f>+L26*J26</f>
        <v>0.16037927275600292</v>
      </c>
      <c r="N26">
        <f t="shared" ref="N26:N33" si="9">+SQRT(4*Rin_Eq*1.381E-23*298.15)*1000000000</f>
        <v>4.2563818672670806</v>
      </c>
      <c r="O26">
        <f>+SQRT(2*N26^2)</f>
        <v>6.0194329633280246</v>
      </c>
      <c r="P26">
        <f>+O26*SQRT(Sys_Noise_BW)/1000</f>
        <v>1.2830341820480236</v>
      </c>
    </row>
    <row r="27" spans="1:23" ht="18.75" x14ac:dyDescent="0.25">
      <c r="J27" s="64">
        <v>0.25</v>
      </c>
      <c r="K27" s="75">
        <f t="shared" si="8"/>
        <v>1.2830341820480233</v>
      </c>
      <c r="L27" s="75">
        <f t="shared" ref="L27:L33" si="10">+SQRT(K27^2+Source_Noise^2)</f>
        <v>1.2830341820480233</v>
      </c>
      <c r="M27" s="75">
        <f t="shared" ref="M27:M33" si="11">+L27*J27</f>
        <v>0.32075854551200583</v>
      </c>
      <c r="N27">
        <f t="shared" si="9"/>
        <v>4.2563818672670806</v>
      </c>
      <c r="O27">
        <f t="shared" ref="O27:O33" si="12">+SQRT(2*N27^2)</f>
        <v>6.0194329633280246</v>
      </c>
    </row>
    <row r="28" spans="1:23" ht="18.75" x14ac:dyDescent="0.25">
      <c r="J28" s="65">
        <v>0.5</v>
      </c>
      <c r="K28" s="75">
        <f t="shared" si="8"/>
        <v>1.2830341820480233</v>
      </c>
      <c r="L28" s="75">
        <f t="shared" si="10"/>
        <v>1.2830341820480233</v>
      </c>
      <c r="M28" s="75">
        <f t="shared" si="11"/>
        <v>0.64151709102401167</v>
      </c>
      <c r="N28">
        <f t="shared" si="9"/>
        <v>4.2563818672670806</v>
      </c>
      <c r="O28">
        <f t="shared" si="12"/>
        <v>6.0194329633280246</v>
      </c>
    </row>
    <row r="29" spans="1:23" ht="18.75" x14ac:dyDescent="0.25">
      <c r="J29" s="66">
        <v>1</v>
      </c>
      <c r="K29" s="75">
        <f t="shared" si="8"/>
        <v>1.2830341820480233</v>
      </c>
      <c r="L29" s="75">
        <f t="shared" si="10"/>
        <v>1.2830341820480233</v>
      </c>
      <c r="M29" s="75">
        <f t="shared" si="11"/>
        <v>1.2830341820480233</v>
      </c>
      <c r="N29">
        <f t="shared" si="9"/>
        <v>4.2563818672670806</v>
      </c>
      <c r="O29">
        <f t="shared" si="12"/>
        <v>6.0194329633280246</v>
      </c>
    </row>
    <row r="30" spans="1:23" ht="18.75" x14ac:dyDescent="0.25">
      <c r="J30" s="67">
        <v>2</v>
      </c>
      <c r="K30" s="75">
        <f t="shared" si="8"/>
        <v>1.2830341820480233</v>
      </c>
      <c r="L30" s="75">
        <f t="shared" si="10"/>
        <v>1.2830341820480233</v>
      </c>
      <c r="M30" s="75">
        <f t="shared" si="11"/>
        <v>2.5660683640960467</v>
      </c>
      <c r="N30">
        <f t="shared" si="9"/>
        <v>4.2563818672670806</v>
      </c>
      <c r="O30">
        <f t="shared" si="12"/>
        <v>6.0194329633280246</v>
      </c>
    </row>
    <row r="31" spans="1:23" ht="18.75" x14ac:dyDescent="0.25">
      <c r="J31" s="66">
        <v>4</v>
      </c>
      <c r="K31" s="75">
        <f t="shared" si="8"/>
        <v>1.2830341820480233</v>
      </c>
      <c r="L31" s="75">
        <f t="shared" si="10"/>
        <v>1.2830341820480233</v>
      </c>
      <c r="M31" s="75">
        <f t="shared" si="11"/>
        <v>5.1321367281920933</v>
      </c>
      <c r="N31">
        <f t="shared" si="9"/>
        <v>4.2563818672670806</v>
      </c>
      <c r="O31">
        <f t="shared" si="12"/>
        <v>6.0194329633280246</v>
      </c>
    </row>
    <row r="32" spans="1:23" ht="18.75" x14ac:dyDescent="0.25">
      <c r="J32" s="67">
        <v>8</v>
      </c>
      <c r="K32" s="75">
        <f t="shared" si="8"/>
        <v>1.2830341820480233</v>
      </c>
      <c r="L32" s="75">
        <f t="shared" si="10"/>
        <v>1.2830341820480233</v>
      </c>
      <c r="M32" s="75">
        <f t="shared" si="11"/>
        <v>10.264273456384187</v>
      </c>
      <c r="N32">
        <f t="shared" si="9"/>
        <v>4.2563818672670806</v>
      </c>
      <c r="O32">
        <f t="shared" si="12"/>
        <v>6.0194329633280246</v>
      </c>
    </row>
    <row r="33" spans="10:15" ht="18.75" x14ac:dyDescent="0.25">
      <c r="J33" s="68">
        <v>16</v>
      </c>
      <c r="K33" s="75">
        <f t="shared" si="8"/>
        <v>1.2830341820480233</v>
      </c>
      <c r="L33" s="75">
        <f t="shared" si="10"/>
        <v>1.2830341820480233</v>
      </c>
      <c r="M33" s="75">
        <f t="shared" si="11"/>
        <v>20.528546912768373</v>
      </c>
      <c r="N33">
        <f t="shared" si="9"/>
        <v>4.2563818672670806</v>
      </c>
      <c r="O33">
        <f t="shared" si="12"/>
        <v>6.0194329633280246</v>
      </c>
    </row>
  </sheetData>
  <mergeCells count="4">
    <mergeCell ref="B2:B3"/>
    <mergeCell ref="C2:C3"/>
    <mergeCell ref="B19:B20"/>
    <mergeCell ref="A19:A20"/>
  </mergeCells>
  <pageMargins left="0.7" right="0.7" top="0.75" bottom="0.75" header="0.3" footer="0.3"/>
  <tableParts count="2">
    <tablePart r:id="rId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EB545DA-B14A-4A7C-BFDB-79C4D41E0CEB}">
  <dimension ref="A1:K104"/>
  <sheetViews>
    <sheetView workbookViewId="0">
      <selection activeCell="K7" sqref="K7"/>
    </sheetView>
  </sheetViews>
  <sheetFormatPr defaultRowHeight="15" x14ac:dyDescent="0.25"/>
  <cols>
    <col min="8" max="8" width="16.7109375" customWidth="1"/>
    <col min="10" max="10" width="14.7109375" customWidth="1"/>
    <col min="11" max="11" width="12" bestFit="1" customWidth="1"/>
  </cols>
  <sheetData>
    <row r="1" spans="1:11" ht="23.25" x14ac:dyDescent="0.25">
      <c r="A1" t="s">
        <v>140</v>
      </c>
      <c r="D1" t="s">
        <v>136</v>
      </c>
      <c r="G1" t="s">
        <v>135</v>
      </c>
      <c r="H1" t="s">
        <v>138</v>
      </c>
      <c r="J1" s="25" t="s">
        <v>132</v>
      </c>
    </row>
    <row r="2" spans="1:11" x14ac:dyDescent="0.25">
      <c r="A2">
        <v>0.1</v>
      </c>
      <c r="B2">
        <v>0</v>
      </c>
      <c r="D2" t="s">
        <v>133</v>
      </c>
      <c r="E2" t="s">
        <v>134</v>
      </c>
      <c r="G2" s="114">
        <f>Sys_Noise_BW</f>
        <v>45432.35918845675</v>
      </c>
      <c r="H2">
        <f>VLOOKUP(G2,D3:E103,2,TRUE)</f>
        <v>4.9113435176913797E-6</v>
      </c>
      <c r="J2" s="60" t="s">
        <v>136</v>
      </c>
    </row>
    <row r="3" spans="1:11" x14ac:dyDescent="0.25">
      <c r="A3">
        <v>0.1</v>
      </c>
      <c r="B3">
        <v>0</v>
      </c>
      <c r="D3">
        <v>0.1</v>
      </c>
      <c r="E3">
        <v>0</v>
      </c>
      <c r="J3" s="60" t="s">
        <v>140</v>
      </c>
    </row>
    <row r="4" spans="1:11" x14ac:dyDescent="0.25">
      <c r="A4">
        <v>0.12022644346174099</v>
      </c>
      <c r="B4" s="114">
        <v>9.6230623203807902E-9</v>
      </c>
      <c r="D4">
        <v>0.12022644346174099</v>
      </c>
      <c r="E4" s="114">
        <v>2.7802400383255198E-7</v>
      </c>
      <c r="J4" t="s">
        <v>137</v>
      </c>
    </row>
    <row r="5" spans="1:11" x14ac:dyDescent="0.25">
      <c r="A5">
        <v>0.14454397707459299</v>
      </c>
      <c r="B5" s="114">
        <v>1.36851583321056E-8</v>
      </c>
      <c r="D5">
        <v>0.14454397707459299</v>
      </c>
      <c r="E5" s="114">
        <v>3.9363945767143001E-7</v>
      </c>
      <c r="G5" t="s">
        <v>135</v>
      </c>
      <c r="H5" t="s">
        <v>139</v>
      </c>
    </row>
    <row r="6" spans="1:11" x14ac:dyDescent="0.25">
      <c r="A6">
        <v>0.17378008287493801</v>
      </c>
      <c r="B6" s="114">
        <v>1.6865964946622901E-8</v>
      </c>
      <c r="D6">
        <v>0.17378008287493801</v>
      </c>
      <c r="E6" s="114">
        <v>4.8273833279558901E-7</v>
      </c>
      <c r="G6" s="114">
        <f>Sys_Noise_BW</f>
        <v>45432.35918845675</v>
      </c>
      <c r="H6">
        <f>VLOOKUP(G6,A3:B103,2,TRUE)</f>
        <v>2.1043120749900302E-6</v>
      </c>
      <c r="J6" t="s">
        <v>141</v>
      </c>
      <c r="K6">
        <f>IF(REF_Device = "REF6241", H2*1000000, IF(REF_Device = "REF7040", H6*1000000, IF(REF_Device = "Other", REF_other_noise,0)))</f>
        <v>4.91134351769138</v>
      </c>
    </row>
    <row r="7" spans="1:11" x14ac:dyDescent="0.25">
      <c r="A7">
        <v>0.208929613085404</v>
      </c>
      <c r="B7" s="114">
        <v>1.9612241694048799E-8</v>
      </c>
      <c r="D7">
        <v>0.208929613085404</v>
      </c>
      <c r="E7" s="114">
        <v>5.5824462219193998E-7</v>
      </c>
      <c r="J7" t="s">
        <v>143</v>
      </c>
      <c r="K7">
        <f>IF(REF_Device = "REF6241", 4.096, IF(REF_Device = "REF7040", 4.096, IF(REF_Device = "Other", REF_other_voltage,0)))</f>
        <v>4.0960000000000001</v>
      </c>
    </row>
    <row r="8" spans="1:11" x14ac:dyDescent="0.25">
      <c r="A8">
        <v>0.25118864315095801</v>
      </c>
      <c r="B8" s="114">
        <v>2.2100418886947099E-8</v>
      </c>
      <c r="D8">
        <v>0.25118864315095801</v>
      </c>
      <c r="E8" s="114">
        <v>6.25186979576138E-7</v>
      </c>
    </row>
    <row r="9" spans="1:11" x14ac:dyDescent="0.25">
      <c r="A9">
        <v>0.30199517204020199</v>
      </c>
      <c r="B9" s="114">
        <v>2.44245013335987E-8</v>
      </c>
      <c r="D9">
        <v>0.30199517204020199</v>
      </c>
      <c r="E9" s="114">
        <v>6.8616833240736598E-7</v>
      </c>
    </row>
    <row r="10" spans="1:11" x14ac:dyDescent="0.25">
      <c r="A10">
        <v>0.36307805477010102</v>
      </c>
      <c r="B10" s="114">
        <v>2.6643966508580101E-8</v>
      </c>
      <c r="D10">
        <v>0.36307805477010102</v>
      </c>
      <c r="E10" s="114">
        <v>7.4276018504651195E-7</v>
      </c>
    </row>
    <row r="11" spans="1:11" x14ac:dyDescent="0.25">
      <c r="A11">
        <v>0.43651583224016599</v>
      </c>
      <c r="B11" s="114">
        <v>2.8801350134296601E-8</v>
      </c>
      <c r="D11">
        <v>0.43651583224016599</v>
      </c>
      <c r="E11" s="114">
        <v>7.9601343703991496E-7</v>
      </c>
    </row>
    <row r="12" spans="1:11" x14ac:dyDescent="0.25">
      <c r="A12">
        <v>0.52480746024977298</v>
      </c>
      <c r="B12" s="114">
        <v>3.0930168817076899E-8</v>
      </c>
      <c r="D12">
        <v>0.52480746024977298</v>
      </c>
      <c r="E12" s="114">
        <v>8.4668723161649804E-7</v>
      </c>
    </row>
    <row r="13" spans="1:11" x14ac:dyDescent="0.25">
      <c r="A13">
        <v>0.63095734448019303</v>
      </c>
      <c r="B13" s="114">
        <v>3.3059021269444398E-8</v>
      </c>
      <c r="D13">
        <v>0.63095734448019303</v>
      </c>
      <c r="E13" s="114">
        <v>8.9536619132184097E-7</v>
      </c>
    </row>
    <row r="14" spans="1:11" x14ac:dyDescent="0.25">
      <c r="A14">
        <v>0.75857757502918399</v>
      </c>
      <c r="B14" s="114">
        <v>3.5213947612340903E-8</v>
      </c>
      <c r="D14">
        <v>0.75857757502918399</v>
      </c>
      <c r="E14" s="114">
        <v>9.42526787742242E-7</v>
      </c>
    </row>
    <row r="15" spans="1:11" x14ac:dyDescent="0.25">
      <c r="A15">
        <v>0.91201083935590999</v>
      </c>
      <c r="B15" s="114">
        <v>3.7419908919984001E-8</v>
      </c>
      <c r="D15">
        <v>0.91201083935590999</v>
      </c>
      <c r="E15" s="114">
        <v>9.8857810916924295E-7</v>
      </c>
    </row>
    <row r="16" spans="1:11" x14ac:dyDescent="0.25">
      <c r="A16">
        <v>1.09647819614319</v>
      </c>
      <c r="B16" s="114">
        <v>3.9701785675154399E-8</v>
      </c>
      <c r="D16">
        <v>1.09647819614319</v>
      </c>
      <c r="E16" s="114">
        <v>1.03388877684552E-6</v>
      </c>
    </row>
    <row r="17" spans="1:5" x14ac:dyDescent="0.25">
      <c r="A17">
        <v>1.3182567385564099</v>
      </c>
      <c r="B17" s="114">
        <v>4.2085095134031499E-8</v>
      </c>
      <c r="D17">
        <v>1.3182567385564099</v>
      </c>
      <c r="E17" s="114">
        <v>1.0788059642741299E-6</v>
      </c>
    </row>
    <row r="18" spans="1:5" x14ac:dyDescent="0.25">
      <c r="A18">
        <v>1.58489319246111</v>
      </c>
      <c r="B18" s="114">
        <v>4.4596534480656697E-8</v>
      </c>
      <c r="D18">
        <v>1.58489319246111</v>
      </c>
      <c r="E18" s="114">
        <v>1.1236697475793199E-6</v>
      </c>
    </row>
    <row r="19" spans="1:5" x14ac:dyDescent="0.25">
      <c r="A19">
        <v>1.9054607179632499</v>
      </c>
      <c r="B19" s="114">
        <v>4.72644100100935E-8</v>
      </c>
      <c r="D19">
        <v>1.9054607179632499</v>
      </c>
      <c r="E19" s="114">
        <v>1.1688246312515999E-6</v>
      </c>
    </row>
    <row r="20" spans="1:5" x14ac:dyDescent="0.25">
      <c r="A20">
        <v>2.29086765276777</v>
      </c>
      <c r="B20" s="114">
        <v>5.0118988179045702E-8</v>
      </c>
      <c r="D20">
        <v>2.29086765276777</v>
      </c>
      <c r="E20" s="114">
        <v>1.2146293423186601E-6</v>
      </c>
    </row>
    <row r="21" spans="1:5" x14ac:dyDescent="0.25">
      <c r="A21">
        <v>2.7542287033381698</v>
      </c>
      <c r="B21" s="114">
        <v>5.3192791386740098E-8</v>
      </c>
      <c r="D21">
        <v>2.7542287033381698</v>
      </c>
      <c r="E21" s="114">
        <v>1.26146554936312E-6</v>
      </c>
    </row>
    <row r="22" spans="1:5" x14ac:dyDescent="0.25">
      <c r="A22">
        <v>3.3113112148259098</v>
      </c>
      <c r="B22" s="114">
        <v>5.6520854573790998E-8</v>
      </c>
      <c r="D22">
        <v>3.3113112148259098</v>
      </c>
      <c r="E22" s="114">
        <v>1.3097458881232801E-6</v>
      </c>
    </row>
    <row r="23" spans="1:5" x14ac:dyDescent="0.25">
      <c r="A23">
        <v>3.98107170553497</v>
      </c>
      <c r="B23" s="114">
        <v>6.0140955397971301E-8</v>
      </c>
      <c r="D23">
        <v>3.98107170553497</v>
      </c>
      <c r="E23" s="114">
        <v>1.3599214839680299E-6</v>
      </c>
    </row>
    <row r="24" spans="1:5" x14ac:dyDescent="0.25">
      <c r="A24">
        <v>4.7863009232263796</v>
      </c>
      <c r="B24" s="114">
        <v>6.4093829245677506E-8</v>
      </c>
      <c r="D24">
        <v>4.7863009232263796</v>
      </c>
      <c r="E24" s="114">
        <v>1.4124890093055299E-6</v>
      </c>
    </row>
    <row r="25" spans="1:5" x14ac:dyDescent="0.25">
      <c r="A25">
        <v>5.7543993733715704</v>
      </c>
      <c r="B25" s="114">
        <v>6.8423379595034202E-8</v>
      </c>
      <c r="D25">
        <v>5.7543993733715704</v>
      </c>
      <c r="E25" s="114">
        <v>1.46799717314423E-6</v>
      </c>
    </row>
    <row r="26" spans="1:5" x14ac:dyDescent="0.25">
      <c r="A26">
        <v>6.9183097091893604</v>
      </c>
      <c r="B26" s="114">
        <v>7.3176893471483701E-8</v>
      </c>
      <c r="D26">
        <v>6.9183097091893604</v>
      </c>
      <c r="E26" s="114">
        <v>1.5270523891037699E-6</v>
      </c>
    </row>
    <row r="27" spans="1:5" x14ac:dyDescent="0.25">
      <c r="A27">
        <v>8.3176377110267001</v>
      </c>
      <c r="B27" s="114">
        <v>7.8405270301509298E-8</v>
      </c>
      <c r="D27">
        <v>8.3176377110267001</v>
      </c>
      <c r="E27" s="114">
        <v>1.5903231856379001E-6</v>
      </c>
    </row>
    <row r="28" spans="1:5" x14ac:dyDescent="0.25">
      <c r="A28">
        <v>10</v>
      </c>
      <c r="B28" s="114">
        <v>8.4163269849890102E-8</v>
      </c>
      <c r="D28">
        <v>10</v>
      </c>
      <c r="E28" s="114">
        <v>1.6585426810483499E-6</v>
      </c>
    </row>
    <row r="29" spans="1:5" x14ac:dyDescent="0.25">
      <c r="A29">
        <v>12.022644346174101</v>
      </c>
      <c r="B29" s="114">
        <v>9.0509780681547595E-8</v>
      </c>
      <c r="D29">
        <v>12.022644346174101</v>
      </c>
      <c r="E29" s="114">
        <v>1.73250810805077E-6</v>
      </c>
    </row>
    <row r="30" spans="1:5" x14ac:dyDescent="0.25">
      <c r="A30">
        <v>14.4543977074593</v>
      </c>
      <c r="B30" s="114">
        <v>9.7508104449380594E-8</v>
      </c>
      <c r="D30">
        <v>14.4543977074593</v>
      </c>
      <c r="E30" s="114">
        <v>1.8130758842007801E-6</v>
      </c>
    </row>
    <row r="31" spans="1:5" x14ac:dyDescent="0.25">
      <c r="A31">
        <v>17.378008287493799</v>
      </c>
      <c r="B31" s="114">
        <v>1.0522624350865899E-7</v>
      </c>
      <c r="D31">
        <v>17.378008287493799</v>
      </c>
      <c r="E31" s="114">
        <v>1.90115001340934E-6</v>
      </c>
    </row>
    <row r="32" spans="1:5" x14ac:dyDescent="0.25">
      <c r="A32">
        <v>20.8929613085404</v>
      </c>
      <c r="B32" s="114">
        <v>1.13737171434126E-7</v>
      </c>
      <c r="D32">
        <v>20.8929613085404</v>
      </c>
      <c r="E32" s="114">
        <v>1.9976605886538799E-6</v>
      </c>
    </row>
    <row r="33" spans="1:5" x14ac:dyDescent="0.25">
      <c r="A33">
        <v>25.118864315095799</v>
      </c>
      <c r="B33" s="114">
        <v>1.2311906206081701E-7</v>
      </c>
      <c r="D33">
        <v>25.118864315095799</v>
      </c>
      <c r="E33" s="114">
        <v>2.10352779174651E-6</v>
      </c>
    </row>
    <row r="34" spans="1:5" x14ac:dyDescent="0.25">
      <c r="A34">
        <v>30.1995172040202</v>
      </c>
      <c r="B34" s="114">
        <v>1.33455460421513E-7</v>
      </c>
      <c r="D34">
        <v>30.1995172040202</v>
      </c>
      <c r="E34" s="114">
        <v>2.2196051192444998E-6</v>
      </c>
    </row>
    <row r="35" spans="1:5" x14ac:dyDescent="0.25">
      <c r="A35">
        <v>36.307805477010099</v>
      </c>
      <c r="B35" s="114">
        <v>1.4483540954957201E-7</v>
      </c>
      <c r="D35">
        <v>36.307805477010099</v>
      </c>
      <c r="E35" s="114">
        <v>2.3465939996738499E-6</v>
      </c>
    </row>
    <row r="36" spans="1:5" x14ac:dyDescent="0.25">
      <c r="A36">
        <v>43.651583224016598</v>
      </c>
      <c r="B36" s="114">
        <v>1.5735361231653099E-7</v>
      </c>
      <c r="D36">
        <v>43.651583224016598</v>
      </c>
      <c r="E36" s="114">
        <v>2.4849216037518301E-6</v>
      </c>
    </row>
    <row r="37" spans="1:5" x14ac:dyDescent="0.25">
      <c r="A37">
        <v>52.4807460249773</v>
      </c>
      <c r="B37" s="114">
        <v>1.7111081167218399E-7</v>
      </c>
      <c r="D37">
        <v>52.4807460249773</v>
      </c>
      <c r="E37" s="114">
        <v>2.6345767905558502E-6</v>
      </c>
    </row>
    <row r="38" spans="1:5" x14ac:dyDescent="0.25">
      <c r="A38">
        <v>63.0957344480194</v>
      </c>
      <c r="B38" s="114">
        <v>1.8621469288105201E-7</v>
      </c>
      <c r="D38">
        <v>63.0957344480194</v>
      </c>
      <c r="E38" s="114">
        <v>2.7949095447335602E-6</v>
      </c>
    </row>
    <row r="39" spans="1:5" x14ac:dyDescent="0.25">
      <c r="A39">
        <v>75.857757502918304</v>
      </c>
      <c r="B39" s="114">
        <v>2.02781666740676E-7</v>
      </c>
      <c r="D39">
        <v>75.857757502918304</v>
      </c>
      <c r="E39" s="114">
        <v>2.9644210264698299E-6</v>
      </c>
    </row>
    <row r="40" spans="1:5" x14ac:dyDescent="0.25">
      <c r="A40">
        <v>91.201083935591001</v>
      </c>
      <c r="B40" s="114">
        <v>2.2093974757434199E-7</v>
      </c>
      <c r="D40">
        <v>91.201083935591001</v>
      </c>
      <c r="E40" s="114">
        <v>3.1406044021316498E-6</v>
      </c>
    </row>
    <row r="41" spans="1:5" x14ac:dyDescent="0.25">
      <c r="A41">
        <v>109.647819614319</v>
      </c>
      <c r="B41" s="114">
        <v>2.4083231650701201E-7</v>
      </c>
      <c r="D41">
        <v>109.647819614319</v>
      </c>
      <c r="E41" s="114">
        <v>3.3199284276214499E-6</v>
      </c>
    </row>
    <row r="42" spans="1:5" x14ac:dyDescent="0.25">
      <c r="A42">
        <v>131.82567385564101</v>
      </c>
      <c r="B42" s="114">
        <v>2.6262202840269498E-7</v>
      </c>
      <c r="D42">
        <v>131.82567385564101</v>
      </c>
      <c r="E42" s="114">
        <v>3.4980561398526401E-6</v>
      </c>
    </row>
    <row r="43" spans="1:5" x14ac:dyDescent="0.25">
      <c r="A43">
        <v>158.48931924611099</v>
      </c>
      <c r="B43" s="114">
        <v>2.8649389557469202E-7</v>
      </c>
      <c r="D43">
        <v>158.48931924611099</v>
      </c>
      <c r="E43" s="114">
        <v>3.6703268524664401E-6</v>
      </c>
    </row>
    <row r="44" spans="1:5" x14ac:dyDescent="0.25">
      <c r="A44">
        <v>190.54607179632501</v>
      </c>
      <c r="B44" s="114">
        <v>3.1265694860203898E-7</v>
      </c>
      <c r="D44">
        <v>190.54607179632501</v>
      </c>
      <c r="E44" s="114">
        <v>3.8324064077230798E-6</v>
      </c>
    </row>
    <row r="45" spans="1:5" x14ac:dyDescent="0.25">
      <c r="A45">
        <v>229.08676527677699</v>
      </c>
      <c r="B45" s="114">
        <v>3.4134461108185701E-7</v>
      </c>
      <c r="D45">
        <v>229.08676527677699</v>
      </c>
      <c r="E45" s="114">
        <v>3.9809011422534301E-6</v>
      </c>
    </row>
    <row r="46" spans="1:5" x14ac:dyDescent="0.25">
      <c r="A46">
        <v>275.422870333817</v>
      </c>
      <c r="B46" s="114">
        <v>3.7281448148395399E-7</v>
      </c>
      <c r="D46">
        <v>275.422870333817</v>
      </c>
      <c r="E46" s="114">
        <v>4.1137285078430403E-6</v>
      </c>
    </row>
    <row r="47" spans="1:5" x14ac:dyDescent="0.25">
      <c r="A47">
        <v>331.13112148259103</v>
      </c>
      <c r="B47" s="114">
        <v>4.0734827239212399E-7</v>
      </c>
      <c r="D47">
        <v>331.13112148259103</v>
      </c>
      <c r="E47" s="114">
        <v>4.2301562611918498E-6</v>
      </c>
    </row>
    <row r="48" spans="1:5" x14ac:dyDescent="0.25">
      <c r="A48">
        <v>398.10717055349699</v>
      </c>
      <c r="B48" s="114">
        <v>4.4525234378414098E-7</v>
      </c>
      <c r="D48">
        <v>398.10717055349699</v>
      </c>
      <c r="E48" s="114">
        <v>4.3305727689113397E-6</v>
      </c>
    </row>
    <row r="49" spans="1:5" x14ac:dyDescent="0.25">
      <c r="A49">
        <v>478.63009232263801</v>
      </c>
      <c r="B49" s="114">
        <v>4.8685888760844504E-7</v>
      </c>
      <c r="D49">
        <v>478.63009232263801</v>
      </c>
      <c r="E49" s="114">
        <v>4.41613165166133E-6</v>
      </c>
    </row>
    <row r="50" spans="1:5" x14ac:dyDescent="0.25">
      <c r="A50">
        <v>575.43993733715797</v>
      </c>
      <c r="B50" s="114">
        <v>5.3252755530163499E-7</v>
      </c>
      <c r="D50">
        <v>575.43993733715797</v>
      </c>
      <c r="E50" s="114">
        <v>4.4884019097394497E-6</v>
      </c>
    </row>
    <row r="51" spans="1:5" x14ac:dyDescent="0.25">
      <c r="A51">
        <v>691.83097091893501</v>
      </c>
      <c r="B51" s="114">
        <v>5.8264716775070501E-7</v>
      </c>
      <c r="D51">
        <v>691.83097091893501</v>
      </c>
      <c r="E51" s="114">
        <v>4.5490955362781496E-6</v>
      </c>
    </row>
    <row r="52" spans="1:5" x14ac:dyDescent="0.25">
      <c r="A52">
        <v>831.76377110267094</v>
      </c>
      <c r="B52" s="114">
        <v>6.3763701598657999E-7</v>
      </c>
      <c r="D52">
        <v>831.76377110267094</v>
      </c>
      <c r="E52" s="114">
        <v>4.5998890928848001E-6</v>
      </c>
    </row>
    <row r="53" spans="1:5" x14ac:dyDescent="0.25">
      <c r="A53">
        <v>1000</v>
      </c>
      <c r="B53" s="114">
        <v>6.9794703128077295E-7</v>
      </c>
      <c r="D53">
        <v>1000</v>
      </c>
      <c r="E53" s="114">
        <v>4.6423247746481503E-6</v>
      </c>
    </row>
    <row r="54" spans="1:5" x14ac:dyDescent="0.25">
      <c r="A54">
        <v>1202.26443461741</v>
      </c>
      <c r="B54" s="114">
        <v>7.6405562241680795E-7</v>
      </c>
      <c r="D54">
        <v>1202.26443461741</v>
      </c>
      <c r="E54" s="114">
        <v>4.6777672201601498E-6</v>
      </c>
    </row>
    <row r="55" spans="1:5" x14ac:dyDescent="0.25">
      <c r="A55">
        <v>1445.43977074593</v>
      </c>
      <c r="B55" s="114">
        <v>8.3646298906562796E-7</v>
      </c>
      <c r="D55">
        <v>1445.43977074593</v>
      </c>
      <c r="E55" s="114">
        <v>4.7073946347800503E-6</v>
      </c>
    </row>
    <row r="56" spans="1:5" x14ac:dyDescent="0.25">
      <c r="A56">
        <v>1737.8008287493799</v>
      </c>
      <c r="B56" s="114">
        <v>9.1567572461391996E-7</v>
      </c>
      <c r="D56">
        <v>1737.8008287493799</v>
      </c>
      <c r="E56" s="114">
        <v>4.7322087863549302E-6</v>
      </c>
    </row>
    <row r="57" spans="1:5" x14ac:dyDescent="0.25">
      <c r="A57">
        <v>2089.2961308540398</v>
      </c>
      <c r="B57" s="114">
        <v>1.0021745412396301E-6</v>
      </c>
      <c r="D57">
        <v>2089.2961308540398</v>
      </c>
      <c r="E57" s="114">
        <v>4.7530541000927402E-6</v>
      </c>
    </row>
    <row r="58" spans="1:5" x14ac:dyDescent="0.25">
      <c r="A58">
        <v>2511.8864315095798</v>
      </c>
      <c r="B58" s="114">
        <v>1.0963492010651401E-6</v>
      </c>
      <c r="D58">
        <v>2511.8864315095798</v>
      </c>
      <c r="E58" s="114">
        <v>4.7706401072403401E-6</v>
      </c>
    </row>
    <row r="59" spans="1:5" x14ac:dyDescent="0.25">
      <c r="A59">
        <v>3019.9517204020199</v>
      </c>
      <c r="B59" s="114">
        <v>1.1983705852294099E-6</v>
      </c>
      <c r="D59">
        <v>3019.9517204020199</v>
      </c>
      <c r="E59" s="114">
        <v>4.7855639383821303E-6</v>
      </c>
    </row>
    <row r="60" spans="1:5" x14ac:dyDescent="0.25">
      <c r="A60">
        <v>3630.7805477010202</v>
      </c>
      <c r="B60" s="114">
        <v>1.30794792876847E-6</v>
      </c>
      <c r="D60">
        <v>3630.7805477010202</v>
      </c>
      <c r="E60" s="114">
        <v>4.79833097659067E-6</v>
      </c>
    </row>
    <row r="61" spans="1:5" x14ac:dyDescent="0.25">
      <c r="A61">
        <v>4365.1583224016604</v>
      </c>
      <c r="B61" s="114">
        <v>1.4239004459602199E-6</v>
      </c>
      <c r="D61">
        <v>4365.1583224016604</v>
      </c>
      <c r="E61" s="114">
        <v>4.8093727566100297E-6</v>
      </c>
    </row>
    <row r="62" spans="1:5" x14ac:dyDescent="0.25">
      <c r="A62">
        <v>5248.0746024977198</v>
      </c>
      <c r="B62" s="114">
        <v>1.54351297552522E-6</v>
      </c>
      <c r="D62">
        <v>5248.0746024977198</v>
      </c>
      <c r="E62" s="114">
        <v>4.8190619396397499E-6</v>
      </c>
    </row>
    <row r="63" spans="1:5" x14ac:dyDescent="0.25">
      <c r="A63">
        <v>6309.5734448019302</v>
      </c>
      <c r="B63" s="114">
        <v>1.66188775820548E-6</v>
      </c>
      <c r="D63">
        <v>6309.5734448019302</v>
      </c>
      <c r="E63" s="114">
        <v>4.8277246629554001E-6</v>
      </c>
    </row>
    <row r="64" spans="1:5" x14ac:dyDescent="0.25">
      <c r="A64">
        <v>7585.7757502918303</v>
      </c>
      <c r="B64" s="114">
        <v>1.7720345912659001E-6</v>
      </c>
      <c r="D64">
        <v>7585.7757502918303</v>
      </c>
      <c r="E64" s="114">
        <v>4.8356507084055903E-6</v>
      </c>
    </row>
    <row r="65" spans="1:5" x14ac:dyDescent="0.25">
      <c r="A65">
        <v>9120.1083935590996</v>
      </c>
      <c r="B65" s="114">
        <v>1.8666474133525201E-6</v>
      </c>
      <c r="D65">
        <v>9120.1083935590996</v>
      </c>
      <c r="E65" s="114">
        <v>4.8431018310137404E-6</v>
      </c>
    </row>
    <row r="66" spans="1:5" x14ac:dyDescent="0.25">
      <c r="A66">
        <v>10964.7819614319</v>
      </c>
      <c r="B66" s="114">
        <v>1.94112770042203E-6</v>
      </c>
      <c r="D66">
        <v>10964.7819614319</v>
      </c>
      <c r="E66" s="114">
        <v>4.8503183778211697E-6</v>
      </c>
    </row>
    <row r="67" spans="1:5" x14ac:dyDescent="0.25">
      <c r="A67">
        <v>13182.5673855641</v>
      </c>
      <c r="B67" s="114">
        <v>1.9954057808462899E-6</v>
      </c>
      <c r="D67">
        <v>13182.5673855641</v>
      </c>
      <c r="E67" s="114">
        <v>4.8575241215086503E-6</v>
      </c>
    </row>
    <row r="68" spans="1:5" x14ac:dyDescent="0.25">
      <c r="A68">
        <v>15848.931924611101</v>
      </c>
      <c r="B68" s="114">
        <v>2.03295844821079E-6</v>
      </c>
      <c r="D68">
        <v>15848.931924611101</v>
      </c>
      <c r="E68" s="114">
        <v>4.8649291206694901E-6</v>
      </c>
    </row>
    <row r="69" spans="1:5" x14ac:dyDescent="0.25">
      <c r="A69">
        <v>19054.607179632501</v>
      </c>
      <c r="B69" s="114">
        <v>2.0584126144243702E-6</v>
      </c>
      <c r="D69">
        <v>19054.607179632501</v>
      </c>
      <c r="E69" s="114">
        <v>4.8727305099523001E-6</v>
      </c>
    </row>
    <row r="70" spans="1:5" x14ac:dyDescent="0.25">
      <c r="A70">
        <v>22908.676527677701</v>
      </c>
      <c r="B70" s="114">
        <v>2.0758220972576798E-6</v>
      </c>
      <c r="D70">
        <v>22908.676527677701</v>
      </c>
      <c r="E70" s="114">
        <v>4.88111156875667E-6</v>
      </c>
    </row>
    <row r="71" spans="1:5" x14ac:dyDescent="0.25">
      <c r="A71">
        <v>27542.287033381701</v>
      </c>
      <c r="B71" s="114">
        <v>2.08811771000237E-6</v>
      </c>
      <c r="D71">
        <v>27542.287033381701</v>
      </c>
      <c r="E71" s="114">
        <v>4.89024030081159E-6</v>
      </c>
    </row>
    <row r="72" spans="1:5" x14ac:dyDescent="0.25">
      <c r="A72">
        <v>33113.112148259097</v>
      </c>
      <c r="B72" s="114">
        <v>2.09721678328359E-6</v>
      </c>
      <c r="D72">
        <v>33113.112148259097</v>
      </c>
      <c r="E72" s="114">
        <v>4.9002698401108201E-6</v>
      </c>
    </row>
    <row r="73" spans="1:5" x14ac:dyDescent="0.25">
      <c r="A73">
        <v>39810.7170553498</v>
      </c>
      <c r="B73" s="114">
        <v>2.1043120749900302E-6</v>
      </c>
      <c r="D73">
        <v>39810.7170553498</v>
      </c>
      <c r="E73" s="114">
        <v>4.9113435176913797E-6</v>
      </c>
    </row>
    <row r="74" spans="1:5" x14ac:dyDescent="0.25">
      <c r="A74">
        <v>47863.009232263903</v>
      </c>
      <c r="B74" s="114">
        <v>2.1101333542389599E-6</v>
      </c>
      <c r="D74">
        <v>47863.009232263903</v>
      </c>
      <c r="E74" s="114">
        <v>4.9236064592340703E-6</v>
      </c>
    </row>
    <row r="75" spans="1:5" x14ac:dyDescent="0.25">
      <c r="A75">
        <v>57543.993733715601</v>
      </c>
      <c r="B75" s="114">
        <v>2.11513367256859E-6</v>
      </c>
      <c r="D75">
        <v>57543.993733715601</v>
      </c>
      <c r="E75" s="114">
        <v>4.9372231601647598E-6</v>
      </c>
    </row>
    <row r="76" spans="1:5" x14ac:dyDescent="0.25">
      <c r="A76">
        <v>69183.097091893593</v>
      </c>
      <c r="B76" s="114">
        <v>2.1196077560867901E-6</v>
      </c>
      <c r="D76">
        <v>69183.097091893593</v>
      </c>
      <c r="E76" s="114">
        <v>4.9523981861966398E-6</v>
      </c>
    </row>
    <row r="77" spans="1:5" x14ac:dyDescent="0.25">
      <c r="A77">
        <v>83176.377110267204</v>
      </c>
      <c r="B77" s="114">
        <v>2.1237615657907401E-6</v>
      </c>
      <c r="D77">
        <v>83176.377110267204</v>
      </c>
      <c r="E77" s="114">
        <v>4.9693967313439999E-6</v>
      </c>
    </row>
    <row r="78" spans="1:5" x14ac:dyDescent="0.25">
      <c r="A78">
        <v>100000</v>
      </c>
      <c r="B78" s="114">
        <v>2.1277501675521202E-6</v>
      </c>
      <c r="D78">
        <v>100000</v>
      </c>
      <c r="E78" s="114">
        <v>4.9885630585476699E-6</v>
      </c>
    </row>
    <row r="79" spans="1:5" x14ac:dyDescent="0.25">
      <c r="A79">
        <v>120226.443461741</v>
      </c>
      <c r="B79" s="114">
        <v>2.1316960846263E-6</v>
      </c>
      <c r="D79">
        <v>120226.443461741</v>
      </c>
      <c r="E79" s="114">
        <v>5.0103360865303798E-6</v>
      </c>
    </row>
    <row r="80" spans="1:5" x14ac:dyDescent="0.25">
      <c r="A80">
        <v>144543.97707459301</v>
      </c>
      <c r="B80" s="114">
        <v>2.13569555443041E-6</v>
      </c>
      <c r="D80">
        <v>144543.97707459301</v>
      </c>
      <c r="E80" s="114">
        <v>5.0352616322743697E-6</v>
      </c>
    </row>
    <row r="81" spans="1:5" x14ac:dyDescent="0.25">
      <c r="A81">
        <v>173780.082874938</v>
      </c>
      <c r="B81" s="114">
        <v>2.1398167069838399E-6</v>
      </c>
      <c r="D81">
        <v>173780.082874938</v>
      </c>
      <c r="E81" s="114">
        <v>5.0640006719849898E-6</v>
      </c>
    </row>
    <row r="82" spans="1:5" x14ac:dyDescent="0.25">
      <c r="A82">
        <v>208929.61308540401</v>
      </c>
      <c r="B82" s="114">
        <v>2.1440920408221E-6</v>
      </c>
      <c r="D82">
        <v>208929.61308540401</v>
      </c>
      <c r="E82" s="114">
        <v>5.09733294958957E-6</v>
      </c>
    </row>
    <row r="83" spans="1:5" x14ac:dyDescent="0.25">
      <c r="A83">
        <v>251188.643150958</v>
      </c>
      <c r="B83" s="114">
        <v>2.1485078694073198E-6</v>
      </c>
      <c r="D83">
        <v>251188.643150958</v>
      </c>
      <c r="E83" s="114">
        <v>5.1361548180359899E-6</v>
      </c>
    </row>
    <row r="84" spans="1:5" x14ac:dyDescent="0.25">
      <c r="A84">
        <v>301995.17204020103</v>
      </c>
      <c r="B84" s="114">
        <v>2.1529954876357899E-6</v>
      </c>
      <c r="D84">
        <v>301995.17204020103</v>
      </c>
      <c r="E84" s="114">
        <v>5.1814686253869097E-6</v>
      </c>
    </row>
    <row r="85" spans="1:5" x14ac:dyDescent="0.25">
      <c r="A85">
        <v>363078.05477010203</v>
      </c>
      <c r="B85" s="114">
        <v>2.1574313777452201E-6</v>
      </c>
      <c r="D85">
        <v>363078.05477010203</v>
      </c>
      <c r="E85" s="114">
        <v>5.2343581534666003E-6</v>
      </c>
    </row>
    <row r="86" spans="1:5" x14ac:dyDescent="0.25">
      <c r="A86">
        <v>436515.83224016702</v>
      </c>
      <c r="B86" s="114">
        <v>2.1616537063366901E-6</v>
      </c>
      <c r="D86">
        <v>436515.83224016702</v>
      </c>
      <c r="E86" s="114">
        <v>5.2959409992265904E-6</v>
      </c>
    </row>
    <row r="87" spans="1:5" x14ac:dyDescent="0.25">
      <c r="A87">
        <v>524807.46024977299</v>
      </c>
      <c r="B87" s="114">
        <v>2.1654962258115402E-6</v>
      </c>
      <c r="D87">
        <v>524807.46024977299</v>
      </c>
      <c r="E87" s="114">
        <v>5.3672851020869901E-6</v>
      </c>
    </row>
    <row r="88" spans="1:5" x14ac:dyDescent="0.25">
      <c r="A88">
        <v>630957.34448019299</v>
      </c>
      <c r="B88" s="114">
        <v>2.1688295046751998E-6</v>
      </c>
      <c r="D88">
        <v>630957.34448019299</v>
      </c>
      <c r="E88" s="114">
        <v>5.4492743812090001E-6</v>
      </c>
    </row>
    <row r="89" spans="1:5" x14ac:dyDescent="0.25">
      <c r="A89">
        <v>758577.57502918399</v>
      </c>
      <c r="B89" s="114">
        <v>2.1715914825387802E-6</v>
      </c>
      <c r="D89">
        <v>758577.57502918399</v>
      </c>
      <c r="E89" s="114">
        <v>5.54241092082983E-6</v>
      </c>
    </row>
    <row r="90" spans="1:5" x14ac:dyDescent="0.25">
      <c r="A90">
        <v>912010.83935591101</v>
      </c>
      <c r="B90" s="114">
        <v>2.17379358188927E-6</v>
      </c>
      <c r="D90">
        <v>912010.83935591101</v>
      </c>
      <c r="E90" s="114">
        <v>5.6465540443820703E-6</v>
      </c>
    </row>
    <row r="91" spans="1:5" x14ac:dyDescent="0.25">
      <c r="A91">
        <v>1096478.1961431899</v>
      </c>
      <c r="B91" s="114">
        <v>2.1755030692605899E-6</v>
      </c>
      <c r="D91">
        <v>1096478.1961431899</v>
      </c>
      <c r="E91" s="114">
        <v>5.7606266536097904E-6</v>
      </c>
    </row>
    <row r="92" spans="1:5" x14ac:dyDescent="0.25">
      <c r="A92">
        <v>1318256.73855641</v>
      </c>
      <c r="B92" s="114">
        <v>2.1768146370493902E-6</v>
      </c>
      <c r="D92">
        <v>1318256.73855641</v>
      </c>
      <c r="E92" s="114">
        <v>5.8823673634682899E-6</v>
      </c>
    </row>
    <row r="93" spans="1:5" x14ac:dyDescent="0.25">
      <c r="A93">
        <v>1584893.19246111</v>
      </c>
      <c r="B93" s="114">
        <v>2.1778253231429298E-6</v>
      </c>
      <c r="D93">
        <v>1584893.19246111</v>
      </c>
      <c r="E93" s="114">
        <v>6.0082557629430297E-6</v>
      </c>
    </row>
    <row r="94" spans="1:5" x14ac:dyDescent="0.25">
      <c r="A94">
        <v>1905460.7179632499</v>
      </c>
      <c r="B94" s="114">
        <v>2.1786197080863301E-6</v>
      </c>
      <c r="D94">
        <v>1905460.7179632499</v>
      </c>
      <c r="E94" s="114">
        <v>6.1337436678839301E-6</v>
      </c>
    </row>
    <row r="95" spans="1:5" x14ac:dyDescent="0.25">
      <c r="A95">
        <v>2290867.65276777</v>
      </c>
      <c r="B95" s="114">
        <v>2.1792649217294099E-6</v>
      </c>
      <c r="D95">
        <v>2290867.65276777</v>
      </c>
      <c r="E95" s="114">
        <v>6.2538393378823297E-6</v>
      </c>
    </row>
    <row r="96" spans="1:5" x14ac:dyDescent="0.25">
      <c r="A96">
        <v>2754228.70333817</v>
      </c>
      <c r="B96" s="114">
        <v>2.1798117021204398E-6</v>
      </c>
      <c r="D96">
        <v>2754228.70333817</v>
      </c>
      <c r="E96" s="114">
        <v>6.3639221920914798E-6</v>
      </c>
    </row>
    <row r="97" spans="1:5" x14ac:dyDescent="0.25">
      <c r="A97">
        <v>3311311.2148259198</v>
      </c>
      <c r="B97" s="114">
        <v>2.1802979246631402E-6</v>
      </c>
      <c r="D97">
        <v>3311311.2148259198</v>
      </c>
      <c r="E97" s="114">
        <v>6.4605148568350202E-6</v>
      </c>
    </row>
    <row r="98" spans="1:5" x14ac:dyDescent="0.25">
      <c r="A98">
        <v>3981071.7055349899</v>
      </c>
      <c r="B98" s="114">
        <v>2.1807524407900799E-6</v>
      </c>
      <c r="D98">
        <v>3981071.7055349899</v>
      </c>
      <c r="E98" s="114">
        <v>6.5417353887431101E-6</v>
      </c>
    </row>
    <row r="99" spans="1:5" x14ac:dyDescent="0.25">
      <c r="A99">
        <v>4786300.9232263695</v>
      </c>
      <c r="B99" s="114">
        <v>2.18119832344744E-6</v>
      </c>
      <c r="D99">
        <v>4786300.9232263695</v>
      </c>
      <c r="E99" s="114">
        <v>6.6073147363929296E-6</v>
      </c>
    </row>
    <row r="100" spans="1:5" x14ac:dyDescent="0.25">
      <c r="A100">
        <v>5754399.3733715704</v>
      </c>
      <c r="B100" s="114">
        <v>2.18165533844892E-6</v>
      </c>
      <c r="D100">
        <v>5754399.3733715704</v>
      </c>
      <c r="E100" s="114">
        <v>6.65827106933108E-6</v>
      </c>
    </row>
    <row r="101" spans="1:5" x14ac:dyDescent="0.25">
      <c r="A101">
        <v>6918309.70918936</v>
      </c>
      <c r="B101" s="114">
        <v>2.1821417608542201E-6</v>
      </c>
      <c r="D101">
        <v>6918309.70918936</v>
      </c>
      <c r="E101" s="114">
        <v>6.6964408330245201E-6</v>
      </c>
    </row>
    <row r="102" spans="1:5" x14ac:dyDescent="0.25">
      <c r="A102">
        <v>8317637.71102669</v>
      </c>
      <c r="B102" s="114">
        <v>2.1826757294235099E-6</v>
      </c>
      <c r="D102">
        <v>8317637.71102669</v>
      </c>
      <c r="E102" s="114">
        <v>6.7240388250546201E-6</v>
      </c>
    </row>
    <row r="103" spans="1:5" x14ac:dyDescent="0.25">
      <c r="A103">
        <v>10000000</v>
      </c>
      <c r="B103" s="114">
        <v>2.18327631510889E-6</v>
      </c>
      <c r="D103">
        <v>10000000</v>
      </c>
      <c r="E103" s="114">
        <v>6.7433254671875403E-6</v>
      </c>
    </row>
    <row r="104" spans="1:5" x14ac:dyDescent="0.25">
      <c r="A104">
        <v>10000000</v>
      </c>
      <c r="B104" s="114">
        <v>6.7433254671875403E-6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Y D A A B Q S w M E F A A C A A g A a 3 t P W I U q Y V m m A A A A + Q A A A B I A H A B D b 2 5 m a W c v U G F j a 2 F n Z S 5 4 b W w g o h g A K K A U A A A A A A A A A A A A A A A A A A A A A A A A A A A A h c 8 x D o I w G A X g q 5 D u t K U a I + S n D K 6 S m B C N a 1 M q N E I x t F j u 5 u C R v I I k i r o 5 v p d v e O 9 x u 0 M 2 t k 1 w V b 3 V n U l R h C k K l J F d q U 2 V o s G d w j X K O O y E P I t K B R M 2 N h l t m a L a u U t C i P c e + w X u + o o w S i N y z L e F r F U r 0 A f r / z j U x j p h p E I c D q 8 x n O F 4 i V e M x Z h O F s j c Q 6 7 N 1 7 B p M q Z A f k r Y D I 0 b e s W V C f c F k D k C e d / g T 1 B L A w Q U A A I A C A B r e 0 9 Y D 8 r p q 6 Q A A A D p A A A A E w A c A F t D b 2 5 0 Z W 5 0 X 1 R 5 c G V z X S 5 4 b W w g o h g A K K A U A A A A A A A A A A A A A A A A A A A A A A A A A A A A b Y 5 L D s I w D E S v E n m f u r B A C D V l A d y A C 0 T B / Y j m o 8 Z F 4 W w s O B J X I G 1 3 i K V n 5 n n m 8 3 p X x 2 Q H 8 a A x 9 t 4 p 2 B Q l C H L G 3 3 r X K p i 4 k X s 4 1 t X 1 G S i K H H V R Q c c c D o j R d G R 1 L H w g l 5 3 G j 1 Z z P s c W g z Z 3 3 R J u y 3 K H x j s m x 5 L n H 1 B X Z 2 r 0 N L C 4 p C y v t R k H c V p z c 5 U C p s S 4 y P i X s D 9 5 H c L Q G 8 3 Z x C R t l H Y h c R l e f w F Q S w M E F A A C A A g A a 3 t P W C i K R 7 g O A A A A E Q A A A B M A H A B G b 3 J t d W x h c y 9 T Z W N 0 a W 9 u M S 5 t I K I Y A C i g F A A A A A A A A A A A A A A A A A A A A A A A A A A A A C t O T S 7 J z M 9 T C I b Q h t Y A U E s B A i 0 A F A A C A A g A a 3 t P W I U q Y V m m A A A A + Q A A A B I A A A A A A A A A A A A A A A A A A A A A A E N v b m Z p Z y 9 Q Y W N r Y W d l L n h t b F B L A Q I t A B Q A A g A I A G t 7 T 1 g P y u m r p A A A A O k A A A A T A A A A A A A A A A A A A A A A A P I A A A B b Q 2 9 u d G V u d F 9 U e X B l c 1 0 u e G 1 s U E s B A i 0 A F A A C A A g A a 3 t P W C i K R 7 g O A A A A E Q A A A B M A A A A A A A A A A A A A A A A A 4 w E A A E Z v c m 1 1 b G F z L 1 N l Y 3 R p b 2 4 x L m 1 Q S w U G A A A A A A M A A w D C A A A A P g I A A A A A E A E A A O + 7 v z w / e G 1 s I H Z l c n N p b 2 4 9 I j E u M C I g Z W 5 j b 2 R p b m c 9 I n V 0 Z i 0 4 I j 8 + 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l w E A A A A A A A B 1 A Q A A 7 7 u / P D 9 4 b W w g d m V y c 2 l v b j 0 i M S 4 w I i B l b m N v Z G l u Z z 0 i d X R m L T g i P z 4 8 T G 9 j Y W x Q Y W N r Y W d l T W V 0 Y W R h d G F G a W x l I H h t b G 5 z O n h z Z D 0 i a H R 0 c D o v L 3 d 3 d y 5 3 M y 5 v c m c v M j A w M S 9 Y T U x T Y 2 h l b W E i I H h t b G 5 z O n h z a T 0 i a H R 0 c D o v L 3 d 3 d y 5 3 M y 5 v c m c v M j A w M S 9 Y T U x T Y 2 h l b W E t a W 5 z d G F u Y 2 U i P j x J d G V t c z 4 8 S X R l b T 4 8 S X R l b U x v Y 2 F 0 a W 9 u P j x J d G V t V H l w Z T 5 B b G x G b 3 J t d W x h c z w v S X R l b V R 5 c G U + P E l 0 Z W 1 Q Y X R o I C 8 + P C 9 J d G V t T G 9 j Y X R p b 2 4 + P F N 0 Y W J s Z U V u d H J p Z X M + P E V u d H J 5 I F R 5 c G U 9 I l J l b G F 0 a W 9 u c 2 h p c H M i I F Z h b H V l P S J z Q U F B Q U F B P T 0 i I C 8 + P C 9 T d G F i b G V F b n R y a W V z P j w v S X R l b T 4 8 L 0 l 0 Z W 1 z P j w v T G 9 j Y W x Q Y W N r Y W d l T W V 0 Y W R h d G F G a W x l P h Y A A A B Q S w U G A A A A A A A A A A A A A A A A A A A A A A A A 2 g A A A A E A A A D Q j J 3 f A R X R E Y x 6 A M B P w p f r A Q A A A I j q G y K P h q x M k + p t E C x w K L g A A A A A A g A A A A A A A 2 Y A A M A A A A A Q A A A A k d x u B a u 5 C M n Z 5 M 7 T l S O 2 V Q A A A A A E g A A A o A A A A B A A A A C m + 2 q 5 5 Z t m 2 j p L j m x p U U D 3 U A A A A H U v 4 t F 7 u 6 i d + 4 Y V 5 s x l i v R F K M u q j / A t e M C h C b L 8 M S R e U J p C U L Q + S m a 4 R t n 4 9 + P I H f 4 X Z Q O N Z 1 j x l M 7 E G i s E k z B P g l I T R j h V m E / x d P O 8 D E 5 1 F A A A A B E x 8 y a i r O V E m d d R / 7 4 E H P Y s q o q C < / D a t a M a s h u p > 
</file>

<file path=customXml/itemProps1.xml><?xml version="1.0" encoding="utf-8"?>
<ds:datastoreItem xmlns:ds="http://schemas.openxmlformats.org/officeDocument/2006/customXml" ds:itemID="{5A92ADE7-484C-4880-AFCB-7916B2E02DBD}">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52</vt:i4>
      </vt:variant>
    </vt:vector>
  </HeadingPairs>
  <TitlesOfParts>
    <vt:vector size="58" baseType="lpstr">
      <vt:lpstr>Tables</vt:lpstr>
      <vt:lpstr>PGA855+ADS127L11 Noise</vt:lpstr>
      <vt:lpstr>About</vt:lpstr>
      <vt:lpstr>ADS127Lx1_Noise_Specs</vt:lpstr>
      <vt:lpstr>PGA855_Noise_Specs and Calc</vt:lpstr>
      <vt:lpstr>REF_Noise</vt:lpstr>
      <vt:lpstr>ADC</vt:lpstr>
      <vt:lpstr>ADC\</vt:lpstr>
      <vt:lpstr>ADC_BW</vt:lpstr>
      <vt:lpstr>ADC_Noise</vt:lpstr>
      <vt:lpstr>ADS127L11</vt:lpstr>
      <vt:lpstr>ADS127L21</vt:lpstr>
      <vt:lpstr>BW_L11</vt:lpstr>
      <vt:lpstr>BW_L21</vt:lpstr>
      <vt:lpstr>Data_Rate</vt:lpstr>
      <vt:lpstr>Digital_Filter</vt:lpstr>
      <vt:lpstr>FCLK_L11</vt:lpstr>
      <vt:lpstr>FCLK_L21</vt:lpstr>
      <vt:lpstr>FSR_pp</vt:lpstr>
      <vt:lpstr>FSR_rms</vt:lpstr>
      <vt:lpstr>iN_BB</vt:lpstr>
      <vt:lpstr>iN_Flicker</vt:lpstr>
      <vt:lpstr>L11_Sinc4_HighSpeed</vt:lpstr>
      <vt:lpstr>L11_Sinc4_LowSpeed</vt:lpstr>
      <vt:lpstr>L11_Tab_Sinc4HS</vt:lpstr>
      <vt:lpstr>L11_Tab_Sinc4LS</vt:lpstr>
      <vt:lpstr>L11_Tab_WBHS</vt:lpstr>
      <vt:lpstr>L11_Tab_WBLS</vt:lpstr>
      <vt:lpstr>L11_WB_HighSpeed</vt:lpstr>
      <vt:lpstr>L11_WB_LowSpeed</vt:lpstr>
      <vt:lpstr>L21_Sinc4_HighSpeed</vt:lpstr>
      <vt:lpstr>L21_Sinc4_LowSpeed</vt:lpstr>
      <vt:lpstr>L21_Sinc4_MaxSpeed</vt:lpstr>
      <vt:lpstr>L21_Sinc4_MidSpeed</vt:lpstr>
      <vt:lpstr>L21_Tab_Sinc4HS</vt:lpstr>
      <vt:lpstr>L21_Tab_Sinc4LS</vt:lpstr>
      <vt:lpstr>L21_Tab_Sinc4Max</vt:lpstr>
      <vt:lpstr>L21_Tab_Sinc4Mid</vt:lpstr>
      <vt:lpstr>L21_Tab_WBHS</vt:lpstr>
      <vt:lpstr>L21_Tab_WBLS</vt:lpstr>
      <vt:lpstr>L21_Tab_WBMax</vt:lpstr>
      <vt:lpstr>L21_Tab_WBMid</vt:lpstr>
      <vt:lpstr>L21_WB_HighSpeed</vt:lpstr>
      <vt:lpstr>L21_WB_LowSpeed</vt:lpstr>
      <vt:lpstr>L21_WB_MaxSpeed</vt:lpstr>
      <vt:lpstr>L21_WB_MidSpeed</vt:lpstr>
      <vt:lpstr>Noise_L11</vt:lpstr>
      <vt:lpstr>Noise_L21</vt:lpstr>
      <vt:lpstr>PGA_BW</vt:lpstr>
      <vt:lpstr>REF_Device</vt:lpstr>
      <vt:lpstr>REF_Noise</vt:lpstr>
      <vt:lpstr>REF_other_noise</vt:lpstr>
      <vt:lpstr>REF_other_voltage</vt:lpstr>
      <vt:lpstr>REF_Voltage</vt:lpstr>
      <vt:lpstr>Rin_Eq</vt:lpstr>
      <vt:lpstr>RTO_Tot_PGA855_Noise</vt:lpstr>
      <vt:lpstr>Source_Noise</vt:lpstr>
      <vt:lpstr>Sys_Noise_BW</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Chioye, Luis</dc:creator>
  <cp:lastModifiedBy>Chioye, Luis</cp:lastModifiedBy>
  <dcterms:created xsi:type="dcterms:W3CDTF">2023-03-06T20:32:36Z</dcterms:created>
  <dcterms:modified xsi:type="dcterms:W3CDTF">2024-03-18T20:57:55Z</dcterms:modified>
</cp:coreProperties>
</file>