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0132492\Desktop\TL Forms 2022 Aditya\App notes work\"/>
    </mc:Choice>
  </mc:AlternateContent>
  <xr:revisionPtr revIDLastSave="0" documentId="13_ncr:1_{6A786A61-FFB8-4A5B-A216-14E22DD5CA54}" xr6:coauthVersionLast="36" xr6:coauthVersionMax="36" xr10:uidLastSave="{00000000-0000-0000-0000-000000000000}"/>
  <bookViews>
    <workbookView xWindow="0" yWindow="0" windowWidth="15534" windowHeight="5790" xr2:uid="{7474576D-9725-4ADD-85F9-6DBCC7B24E4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3" i="1" l="1"/>
  <c r="D42" i="1"/>
  <c r="D41" i="1"/>
  <c r="D40" i="1"/>
  <c r="D39" i="1"/>
  <c r="D38" i="1"/>
  <c r="D37" i="1"/>
  <c r="D36" i="1"/>
  <c r="D35" i="1"/>
  <c r="D34" i="1"/>
  <c r="D33" i="1"/>
  <c r="E16" i="1"/>
  <c r="C43" i="1" l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F23" i="1" l="1"/>
  <c r="E23" i="1"/>
  <c r="D32" i="1"/>
  <c r="D31" i="1"/>
  <c r="D30" i="1"/>
  <c r="D29" i="1"/>
  <c r="D28" i="1"/>
  <c r="D27" i="1"/>
  <c r="D26" i="1"/>
  <c r="D25" i="1"/>
  <c r="D24" i="1"/>
  <c r="D23" i="1" l="1"/>
  <c r="D20" i="1" l="1"/>
  <c r="E43" i="1" l="1"/>
  <c r="F43" i="1" s="1"/>
  <c r="E42" i="1"/>
  <c r="F42" i="1" s="1"/>
  <c r="E41" i="1"/>
  <c r="F41" i="1" s="1"/>
  <c r="E40" i="1"/>
  <c r="F40" i="1" s="1"/>
  <c r="E39" i="1"/>
  <c r="F39" i="1" s="1"/>
  <c r="E38" i="1"/>
  <c r="F38" i="1" s="1"/>
  <c r="E37" i="1"/>
  <c r="F37" i="1" s="1"/>
  <c r="E36" i="1"/>
  <c r="F36" i="1" s="1"/>
  <c r="E34" i="1"/>
  <c r="F34" i="1" s="1"/>
  <c r="E32" i="1"/>
  <c r="F32" i="1" s="1"/>
  <c r="G32" i="1" s="1"/>
  <c r="E33" i="1"/>
  <c r="F33" i="1" s="1"/>
  <c r="G33" i="1" s="1"/>
  <c r="E35" i="1"/>
  <c r="F35" i="1" s="1"/>
  <c r="G35" i="1" s="1"/>
  <c r="E25" i="1"/>
  <c r="F25" i="1" s="1"/>
  <c r="G25" i="1" s="1"/>
  <c r="E24" i="1"/>
  <c r="F24" i="1" s="1"/>
  <c r="G24" i="1" s="1"/>
  <c r="E27" i="1"/>
  <c r="F27" i="1" s="1"/>
  <c r="G27" i="1" s="1"/>
  <c r="E28" i="1"/>
  <c r="F28" i="1" s="1"/>
  <c r="G28" i="1" s="1"/>
  <c r="E29" i="1"/>
  <c r="F29" i="1" s="1"/>
  <c r="G29" i="1" s="1"/>
  <c r="E30" i="1"/>
  <c r="F30" i="1" s="1"/>
  <c r="G30" i="1" s="1"/>
  <c r="E31" i="1"/>
  <c r="F31" i="1" s="1"/>
  <c r="G31" i="1" s="1"/>
  <c r="E26" i="1"/>
  <c r="F26" i="1" s="1"/>
  <c r="G26" i="1" s="1"/>
  <c r="H10" i="1"/>
  <c r="D13" i="1" s="1"/>
  <c r="H9" i="1"/>
  <c r="D11" i="1"/>
  <c r="E11" i="1" s="1"/>
  <c r="H8" i="1"/>
  <c r="D10" i="1"/>
  <c r="E10" i="1" s="1"/>
  <c r="E15" i="1" l="1"/>
  <c r="E14" i="1"/>
  <c r="E13" i="1"/>
  <c r="D12" i="1"/>
  <c r="E12" i="1" s="1"/>
</calcChain>
</file>

<file path=xl/sharedStrings.xml><?xml version="1.0" encoding="utf-8"?>
<sst xmlns="http://schemas.openxmlformats.org/spreadsheetml/2006/main" count="61" uniqueCount="58">
  <si>
    <t>Rdc</t>
  </si>
  <si>
    <t>Z@Wpeak</t>
  </si>
  <si>
    <t>Fpeak</t>
  </si>
  <si>
    <t>Freq 2</t>
  </si>
  <si>
    <t>Z@Freq2</t>
  </si>
  <si>
    <t>L1*C1</t>
  </si>
  <si>
    <t>ZeffLC@Freq2</t>
  </si>
  <si>
    <t>ohm</t>
  </si>
  <si>
    <t>pF</t>
  </si>
  <si>
    <t>nH</t>
  </si>
  <si>
    <t>Cpar</t>
  </si>
  <si>
    <t>Wobead</t>
  </si>
  <si>
    <t xml:space="preserve">Wo </t>
  </si>
  <si>
    <t>(internal calculation parameters ignore)</t>
  </si>
  <si>
    <t>Q</t>
  </si>
  <si>
    <t>Wo/Q</t>
  </si>
  <si>
    <t>MHz</t>
  </si>
  <si>
    <t>(C2_bead)</t>
  </si>
  <si>
    <t>Wo input</t>
  </si>
  <si>
    <t>Q input</t>
  </si>
  <si>
    <t>Min Wo/Q criterion</t>
  </si>
  <si>
    <t>Range</t>
  </si>
  <si>
    <t>Wo&lt;50KHz</t>
  </si>
  <si>
    <t>50KHz &lt;Wo&lt;100KHz</t>
  </si>
  <si>
    <t>250KHz &lt;Wo&lt;500KHz</t>
  </si>
  <si>
    <t>500KHz &lt;Wo&lt;1MHz</t>
  </si>
  <si>
    <t>1MHz &lt;Wo&lt; 1.5MHz</t>
  </si>
  <si>
    <t>1.5MHz &lt;Wo&lt; 2.5MHz</t>
  </si>
  <si>
    <t>2.5MHz &lt;Wo&lt; 3MHz</t>
  </si>
  <si>
    <t>3MHz &lt;Wo&lt; 4MHz</t>
  </si>
  <si>
    <t>4MHz &lt;Wo&lt; 5MHz</t>
  </si>
  <si>
    <t>Wo/Q ratio</t>
  </si>
  <si>
    <t>INPUTS FROM BEAD DATASHEET</t>
  </si>
  <si>
    <t>Bead RLC Model Parameters calculated</t>
  </si>
  <si>
    <t>Wo/Q CHECK</t>
  </si>
  <si>
    <t>CONCLUSION</t>
  </si>
  <si>
    <t>Check for Wo input range</t>
  </si>
  <si>
    <t>Q max</t>
  </si>
  <si>
    <t>10MHz &lt;Wo&lt; 20MHz</t>
  </si>
  <si>
    <t>20MHz &lt;Wo&lt; 30MHz</t>
  </si>
  <si>
    <t>30MHz &lt;Wo&lt; 40MHz</t>
  </si>
  <si>
    <t>40MHz &lt;Wo&lt; 50MHz</t>
  </si>
  <si>
    <t>50MHz &lt;Wo&lt; 75MHz</t>
  </si>
  <si>
    <t>75MHz &lt;Wo&lt; 100MHz</t>
  </si>
  <si>
    <t>100MHz &lt;Wo&lt; 150MHz</t>
  </si>
  <si>
    <t>150MHz &lt;Wo&lt; 250MHz</t>
  </si>
  <si>
    <t>250MHz &lt;Wo&lt; 500MHz</t>
  </si>
  <si>
    <t>100KHz &lt;Wo&lt;250KHz</t>
  </si>
  <si>
    <t>NOT RECCOMENDED DUE TO 384K</t>
  </si>
  <si>
    <t>NOT RECCOMENDED DUE TO 768K</t>
  </si>
  <si>
    <t>NOT RECCOMENDED DUE TO ULTRASONIC</t>
  </si>
  <si>
    <t>NOT RECCOMENDED DUE TO AUDIO/US</t>
  </si>
  <si>
    <t>NOT STABLE</t>
  </si>
  <si>
    <t>5MHz &lt;Wo&lt; 7.5MHz</t>
  </si>
  <si>
    <t>7.5MHz &lt;Wo&lt; 10MHz</t>
  </si>
  <si>
    <t>Rpar</t>
  </si>
  <si>
    <t>LEQ</t>
  </si>
  <si>
    <t>CEQ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</si>
</sst>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1"/>
      <color theme="1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2">
    <xf numFmtId="0" fontId="0" fillId="0" borderId="0" xfId="0"/>
    <xf numFmtId="11" fontId="0" fillId="0" borderId="0" xfId="0" applyNumberFormat="1"/>
    <xf numFmtId="0" fontId="1" fillId="0" borderId="0" xfId="0" applyFont="1"/>
    <xf numFmtId="2" fontId="0" fillId="2" borderId="0" xfId="0" applyNumberFormat="1" applyFill="1"/>
    <xf numFmtId="11" fontId="0" fillId="2" borderId="0" xfId="0" applyNumberFormat="1" applyFill="1"/>
    <xf numFmtId="164" fontId="0" fillId="2" borderId="0" xfId="0" applyNumberFormat="1" applyFill="1"/>
    <xf numFmtId="0" fontId="1" fillId="3" borderId="0" xfId="0" applyFont="1" applyFill="1"/>
    <xf numFmtId="2" fontId="0" fillId="3" borderId="0" xfId="0" applyNumberFormat="1" applyFill="1"/>
    <xf numFmtId="0" fontId="0" fillId="3" borderId="0" xfId="0" applyFill="1"/>
    <xf numFmtId="11" fontId="0" fillId="0" borderId="0" xfId="0" applyNumberFormat="1" applyAlignment="1">
      <alignment horizontal="center"/>
    </xf>
    <xf numFmtId="0" fontId="4" fillId="0" borderId="0" xfId="0" applyFont="1"/>
    <xf numFmtId="0" fontId="5" fillId="0" borderId="0" xfId="0" applyFont="1"/>
    <xf numFmtId="11" fontId="5" fillId="0" borderId="0" xfId="0" applyNumberFormat="1" applyFont="1"/>
    <xf numFmtId="0" fontId="6" fillId="0" borderId="0" xfId="1" applyFont="1"/>
    <xf numFmtId="0" fontId="0" fillId="2" borderId="0" xfId="0" applyFill="1"/>
    <xf numFmtId="11" fontId="0" fillId="3" borderId="0" xfId="0" applyNumberFormat="1" applyFill="1"/>
    <xf numFmtId="0" fontId="3" fillId="3" borderId="0" xfId="1" applyFont="1" applyFill="1"/>
    <xf numFmtId="0" fontId="0" fillId="0" borderId="0" xfId="0" applyFill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11" fontId="0" fillId="0" borderId="0" xfId="0" applyNumberFormat="1" applyFill="1"/>
  </cellXfs>
  <cellStyles count="2">
    <cellStyle name="Hyperlink" xfId="1" builtinId="8"/>
    <cellStyle name="Normal" xfId="0" builtinId="0"/>
  </cellStyles>
  <dxfs count="1">
    <dxf>
      <font>
        <color theme="9"/>
      </font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34462</xdr:colOff>
      <xdr:row>3</xdr:row>
      <xdr:rowOff>145738</xdr:rowOff>
    </xdr:from>
    <xdr:to>
      <xdr:col>9</xdr:col>
      <xdr:colOff>76604</xdr:colOff>
      <xdr:row>16</xdr:row>
      <xdr:rowOff>7619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73BFB42-45F8-4ACB-A753-D60AF75491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647092" y="694378"/>
          <a:ext cx="4427452" cy="2422201"/>
        </a:xfrm>
        <a:prstGeom prst="rect">
          <a:avLst/>
        </a:prstGeom>
      </xdr:spPr>
    </xdr:pic>
    <xdr:clientData/>
  </xdr:twoCellAnchor>
  <xdr:twoCellAnchor editAs="oneCell">
    <xdr:from>
      <xdr:col>9</xdr:col>
      <xdr:colOff>464820</xdr:colOff>
      <xdr:row>0</xdr:row>
      <xdr:rowOff>99060</xdr:rowOff>
    </xdr:from>
    <xdr:to>
      <xdr:col>19</xdr:col>
      <xdr:colOff>95250</xdr:colOff>
      <xdr:row>20</xdr:row>
      <xdr:rowOff>63867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4F1B7C16-20B5-4F8E-9ED6-A13F53FCC2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686800" y="99060"/>
          <a:ext cx="6031230" cy="380528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ZeffLC@Freq2" TargetMode="External"/><Relationship Id="rId2" Type="http://schemas.openxmlformats.org/officeDocument/2006/relationships/hyperlink" Target="mailto:Z@Freq2" TargetMode="External"/><Relationship Id="rId1" Type="http://schemas.openxmlformats.org/officeDocument/2006/relationships/hyperlink" Target="mailto:Z@Wpeak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E604C0-F310-4532-9532-E2DCEE00418B}">
  <dimension ref="A1:H43"/>
  <sheetViews>
    <sheetView tabSelected="1" zoomScale="90" zoomScaleNormal="90" workbookViewId="0">
      <selection activeCell="E15" sqref="E15"/>
    </sheetView>
  </sheetViews>
  <sheetFormatPr defaultRowHeight="14.4" x14ac:dyDescent="0.55000000000000004"/>
  <cols>
    <col min="1" max="1" width="26.1015625" customWidth="1"/>
    <col min="2" max="2" width="34.578125" customWidth="1"/>
    <col min="3" max="3" width="17.89453125" customWidth="1"/>
    <col min="4" max="4" width="16.68359375" bestFit="1" customWidth="1"/>
    <col min="5" max="5" width="22.41796875" bestFit="1" customWidth="1"/>
    <col min="6" max="6" width="23.578125" customWidth="1"/>
    <col min="7" max="7" width="33.20703125" bestFit="1" customWidth="1"/>
    <col min="8" max="8" width="18.5234375" customWidth="1"/>
  </cols>
  <sheetData>
    <row r="1" spans="1:8" x14ac:dyDescent="0.55000000000000004">
      <c r="A1" s="19" t="s">
        <v>32</v>
      </c>
      <c r="B1" s="19"/>
    </row>
    <row r="2" spans="1:8" x14ac:dyDescent="0.55000000000000004">
      <c r="A2" s="6" t="s">
        <v>0</v>
      </c>
      <c r="B2" s="6"/>
      <c r="C2" s="6"/>
      <c r="D2" s="8">
        <v>0.12</v>
      </c>
      <c r="E2" s="8"/>
      <c r="F2" s="2"/>
    </row>
    <row r="3" spans="1:8" x14ac:dyDescent="0.55000000000000004">
      <c r="A3" s="6" t="s">
        <v>2</v>
      </c>
      <c r="B3" s="6"/>
      <c r="C3" s="6"/>
      <c r="D3" s="15">
        <v>180000000</v>
      </c>
      <c r="E3" s="8"/>
    </row>
    <row r="4" spans="1:8" x14ac:dyDescent="0.55000000000000004">
      <c r="A4" s="16" t="s">
        <v>1</v>
      </c>
      <c r="B4" s="16"/>
      <c r="C4" s="16"/>
      <c r="D4" s="8">
        <v>675</v>
      </c>
      <c r="E4" s="8"/>
    </row>
    <row r="5" spans="1:8" x14ac:dyDescent="0.55000000000000004">
      <c r="A5" s="6" t="s">
        <v>3</v>
      </c>
      <c r="B5" s="6"/>
      <c r="C5" s="6"/>
      <c r="D5" s="15">
        <v>30000000</v>
      </c>
      <c r="E5" s="8"/>
    </row>
    <row r="6" spans="1:8" x14ac:dyDescent="0.55000000000000004">
      <c r="A6" s="16" t="s">
        <v>4</v>
      </c>
      <c r="B6" s="16"/>
      <c r="C6" s="16"/>
      <c r="D6" s="8">
        <v>300</v>
      </c>
      <c r="E6" s="8"/>
    </row>
    <row r="7" spans="1:8" x14ac:dyDescent="0.55000000000000004">
      <c r="A7" s="6" t="s">
        <v>10</v>
      </c>
      <c r="B7" s="6"/>
      <c r="C7" s="6"/>
      <c r="D7" s="15">
        <v>1E-10</v>
      </c>
      <c r="E7" s="8" t="s">
        <v>17</v>
      </c>
      <c r="G7" s="10" t="s">
        <v>13</v>
      </c>
      <c r="H7" s="11"/>
    </row>
    <row r="8" spans="1:8" x14ac:dyDescent="0.55000000000000004">
      <c r="A8" s="2"/>
      <c r="B8" s="2"/>
      <c r="C8" s="2"/>
      <c r="G8" s="10" t="s">
        <v>5</v>
      </c>
      <c r="H8" s="12">
        <f>1/(2*3.14*D3)^2</f>
        <v>7.8259253749807796E-19</v>
      </c>
    </row>
    <row r="9" spans="1:8" ht="28.8" x14ac:dyDescent="0.55000000000000004">
      <c r="A9" s="18" t="s">
        <v>33</v>
      </c>
      <c r="B9" s="18"/>
      <c r="G9" s="13" t="s">
        <v>6</v>
      </c>
      <c r="H9" s="11">
        <f>D4*D6/(D4-D6)</f>
        <v>540</v>
      </c>
    </row>
    <row r="10" spans="1:8" x14ac:dyDescent="0.55000000000000004">
      <c r="A10" s="2" t="s">
        <v>0</v>
      </c>
      <c r="B10" s="2"/>
      <c r="C10" s="2"/>
      <c r="D10">
        <f>D2</f>
        <v>0.12</v>
      </c>
      <c r="E10" s="3">
        <f>D10</f>
        <v>0.12</v>
      </c>
      <c r="F10" t="s">
        <v>7</v>
      </c>
      <c r="G10" s="11" t="s">
        <v>11</v>
      </c>
      <c r="H10" s="12">
        <f>2*3.14*D3</f>
        <v>1130400000</v>
      </c>
    </row>
    <row r="11" spans="1:8" x14ac:dyDescent="0.55000000000000004">
      <c r="A11" s="2" t="s">
        <v>55</v>
      </c>
      <c r="B11" s="2"/>
      <c r="C11" s="2"/>
      <c r="D11">
        <f>D4-D2</f>
        <v>674.88</v>
      </c>
      <c r="E11" s="3">
        <f>D11</f>
        <v>674.88</v>
      </c>
      <c r="F11" t="s">
        <v>7</v>
      </c>
    </row>
    <row r="12" spans="1:8" x14ac:dyDescent="0.55000000000000004">
      <c r="A12" s="2" t="s">
        <v>57</v>
      </c>
      <c r="B12" s="2"/>
      <c r="C12" s="2"/>
      <c r="D12" s="1">
        <f>H8/D13</f>
        <v>5.0551005965018696E-13</v>
      </c>
      <c r="E12" s="3">
        <f>D12*1000000000000</f>
        <v>0.50551005965018692</v>
      </c>
      <c r="F12" t="s">
        <v>8</v>
      </c>
    </row>
    <row r="13" spans="1:8" x14ac:dyDescent="0.55000000000000004">
      <c r="A13" s="2" t="s">
        <v>56</v>
      </c>
      <c r="B13" s="2"/>
      <c r="C13" s="2"/>
      <c r="D13" s="1">
        <f>D6*(1-(2*3.14*D5/H10)^2)/(2*3.14*D5)</f>
        <v>1.5481245576786979E-6</v>
      </c>
      <c r="E13" s="3">
        <f>D13*1000000000</f>
        <v>1548.124557678698</v>
      </c>
      <c r="F13" t="s">
        <v>9</v>
      </c>
    </row>
    <row r="14" spans="1:8" x14ac:dyDescent="0.55000000000000004">
      <c r="D14" s="2" t="s">
        <v>12</v>
      </c>
      <c r="E14" s="3">
        <f>1/(2*3.14*SQRT(D7*D13))/1000000</f>
        <v>12.797861513810053</v>
      </c>
      <c r="F14" t="s">
        <v>16</v>
      </c>
    </row>
    <row r="15" spans="1:8" x14ac:dyDescent="0.55000000000000004">
      <c r="D15" s="2" t="s">
        <v>14</v>
      </c>
      <c r="E15" s="5">
        <f>E11*SQRT(D7/D13)</f>
        <v>5.4240490488604012</v>
      </c>
    </row>
    <row r="16" spans="1:8" x14ac:dyDescent="0.55000000000000004">
      <c r="D16" s="2" t="s">
        <v>15</v>
      </c>
      <c r="E16" s="4">
        <f>E14/E15*1000000</f>
        <v>2359466.4057285576</v>
      </c>
    </row>
    <row r="17" spans="1:7" x14ac:dyDescent="0.55000000000000004">
      <c r="D17" s="2"/>
      <c r="E17" s="21"/>
    </row>
    <row r="18" spans="1:7" x14ac:dyDescent="0.55000000000000004">
      <c r="A18" s="6" t="s">
        <v>18</v>
      </c>
      <c r="B18" s="6"/>
      <c r="C18" s="6"/>
      <c r="D18" s="7">
        <v>12.8</v>
      </c>
      <c r="E18" s="8" t="s">
        <v>16</v>
      </c>
    </row>
    <row r="19" spans="1:7" x14ac:dyDescent="0.55000000000000004">
      <c r="A19" s="6" t="s">
        <v>19</v>
      </c>
      <c r="B19" s="6"/>
      <c r="C19" s="6"/>
      <c r="D19" s="8">
        <v>5.42</v>
      </c>
      <c r="E19" s="8"/>
    </row>
    <row r="20" spans="1:7" x14ac:dyDescent="0.55000000000000004">
      <c r="A20" s="14" t="s">
        <v>31</v>
      </c>
      <c r="B20" s="14"/>
      <c r="C20" s="14"/>
      <c r="D20" s="14">
        <f>D18/D19*1000000</f>
        <v>2361623.6162361624</v>
      </c>
    </row>
    <row r="21" spans="1:7" x14ac:dyDescent="0.55000000000000004">
      <c r="A21" s="14"/>
      <c r="B21" s="14"/>
      <c r="C21" s="14"/>
      <c r="D21" s="14"/>
    </row>
    <row r="22" spans="1:7" ht="28.8" x14ac:dyDescent="0.55000000000000004">
      <c r="A22" s="18" t="s">
        <v>21</v>
      </c>
      <c r="B22" s="18" t="s">
        <v>37</v>
      </c>
      <c r="C22" s="18" t="s">
        <v>20</v>
      </c>
      <c r="D22" s="18" t="s">
        <v>36</v>
      </c>
      <c r="E22" s="18" t="s">
        <v>34</v>
      </c>
      <c r="F22" s="18" t="s">
        <v>35</v>
      </c>
    </row>
    <row r="23" spans="1:7" x14ac:dyDescent="0.55000000000000004">
      <c r="A23" s="2" t="s">
        <v>22</v>
      </c>
      <c r="B23" s="20" t="s">
        <v>51</v>
      </c>
      <c r="C23" s="20"/>
      <c r="D23" s="17" t="str">
        <f>IF($D$18&lt;=0.05,  "VALID", "INVALID")</f>
        <v>INVALID</v>
      </c>
      <c r="E23" s="17" t="str">
        <f>IF($D$18&lt;=0.05,  "VALID", "INVALID")</f>
        <v>INVALID</v>
      </c>
      <c r="F23" s="17" t="str">
        <f>IF($D$18&lt;=0.05,  "VALID", "INVALID")</f>
        <v>INVALID</v>
      </c>
    </row>
    <row r="24" spans="1:7" x14ac:dyDescent="0.55000000000000004">
      <c r="A24" s="2" t="s">
        <v>23</v>
      </c>
      <c r="B24" s="20" t="s">
        <v>50</v>
      </c>
      <c r="C24" s="20"/>
      <c r="D24" s="17" t="str">
        <f>IF(AND(0.05&lt;$D$18, $D$18&lt;=0.1),  "VALID", "INVALID")</f>
        <v>INVALID</v>
      </c>
      <c r="E24" t="str">
        <f t="shared" ref="E24:E35" si="0">IF($D$20&gt;=C24,"WoBYQ CRITERIA SATISFIED", "WoBYQ CRITERIA NOT MET")</f>
        <v>WoBYQ CRITERIA SATISFIED</v>
      </c>
      <c r="F24" s="17" t="str">
        <f t="shared" ref="F24:F35" si="1">IF(AND(D24="VALID", E24="WoBYQ CRITERIA SATISFIED"), "VALID EMI FILTER FOR USE", "REDUCE FILTER Q TO USE")</f>
        <v>REDUCE FILTER Q TO USE</v>
      </c>
      <c r="G24" s="11">
        <f t="shared" ref="G24:G35" si="2">IF(F24="VALID EMI FILTER FOR USE", 1,0)</f>
        <v>0</v>
      </c>
    </row>
    <row r="25" spans="1:7" ht="13.8" customHeight="1" x14ac:dyDescent="0.55000000000000004">
      <c r="A25" s="2" t="s">
        <v>47</v>
      </c>
      <c r="B25" s="20" t="s">
        <v>52</v>
      </c>
      <c r="C25" s="20"/>
      <c r="D25" s="17" t="str">
        <f>IF(AND(0.1&lt;$D$18, $D$18&lt;=0.25),  "VALID", "INVALID")</f>
        <v>INVALID</v>
      </c>
      <c r="E25" t="str">
        <f t="shared" si="0"/>
        <v>WoBYQ CRITERIA SATISFIED</v>
      </c>
      <c r="F25" s="17" t="str">
        <f t="shared" si="1"/>
        <v>REDUCE FILTER Q TO USE</v>
      </c>
      <c r="G25" s="11">
        <f t="shared" si="2"/>
        <v>0</v>
      </c>
    </row>
    <row r="26" spans="1:7" x14ac:dyDescent="0.55000000000000004">
      <c r="A26" s="2" t="s">
        <v>24</v>
      </c>
      <c r="B26" s="20" t="s">
        <v>48</v>
      </c>
      <c r="C26" s="20"/>
      <c r="D26" s="17" t="str">
        <f>IF(AND(0.25&lt;$D$18, $D$18&lt;=0.5),  "VALID", "INVALID")</f>
        <v>INVALID</v>
      </c>
      <c r="E26" t="str">
        <f t="shared" si="0"/>
        <v>WoBYQ CRITERIA SATISFIED</v>
      </c>
      <c r="F26" s="17" t="str">
        <f t="shared" si="1"/>
        <v>REDUCE FILTER Q TO USE</v>
      </c>
      <c r="G26" s="11">
        <f t="shared" si="2"/>
        <v>0</v>
      </c>
    </row>
    <row r="27" spans="1:7" x14ac:dyDescent="0.55000000000000004">
      <c r="A27" s="2" t="s">
        <v>25</v>
      </c>
      <c r="B27" s="20" t="s">
        <v>49</v>
      </c>
      <c r="C27" s="20"/>
      <c r="D27" s="17" t="str">
        <f>IF(AND(0.5&lt;$D$18, $D$18&lt;=1),  "VALID", "INVALID")</f>
        <v>INVALID</v>
      </c>
      <c r="E27" t="str">
        <f t="shared" si="0"/>
        <v>WoBYQ CRITERIA SATISFIED</v>
      </c>
      <c r="F27" s="17" t="str">
        <f t="shared" si="1"/>
        <v>REDUCE FILTER Q TO USE</v>
      </c>
      <c r="G27" s="11">
        <f t="shared" si="2"/>
        <v>0</v>
      </c>
    </row>
    <row r="28" spans="1:7" x14ac:dyDescent="0.55000000000000004">
      <c r="A28" s="2" t="s">
        <v>26</v>
      </c>
      <c r="B28" s="19">
        <v>0.5</v>
      </c>
      <c r="C28" s="9">
        <f>1000000/B28</f>
        <v>2000000</v>
      </c>
      <c r="D28" s="17" t="str">
        <f>IF(AND(1&lt;$D$18, $D$18&lt;=1.5),  "VALID", "INVALID")</f>
        <v>INVALID</v>
      </c>
      <c r="E28" t="str">
        <f t="shared" si="0"/>
        <v>WoBYQ CRITERIA SATISFIED</v>
      </c>
      <c r="F28" s="17" t="str">
        <f t="shared" si="1"/>
        <v>REDUCE FILTER Q TO USE</v>
      </c>
      <c r="G28" s="11">
        <f t="shared" si="2"/>
        <v>0</v>
      </c>
    </row>
    <row r="29" spans="1:7" x14ac:dyDescent="0.55000000000000004">
      <c r="A29" s="2" t="s">
        <v>27</v>
      </c>
      <c r="B29" s="19">
        <v>2</v>
      </c>
      <c r="C29" s="9">
        <f>1500000/B29</f>
        <v>750000</v>
      </c>
      <c r="D29" s="17" t="str">
        <f>IF(AND(1.5&lt;$D$18, $D$18&lt;=2.5),  "VALID", "INVALID")</f>
        <v>INVALID</v>
      </c>
      <c r="E29" t="str">
        <f t="shared" si="0"/>
        <v>WoBYQ CRITERIA SATISFIED</v>
      </c>
      <c r="F29" s="17" t="str">
        <f t="shared" si="1"/>
        <v>REDUCE FILTER Q TO USE</v>
      </c>
      <c r="G29" s="11">
        <f t="shared" si="2"/>
        <v>0</v>
      </c>
    </row>
    <row r="30" spans="1:7" x14ac:dyDescent="0.55000000000000004">
      <c r="A30" s="2" t="s">
        <v>28</v>
      </c>
      <c r="B30" s="19">
        <v>2.8</v>
      </c>
      <c r="C30" s="9">
        <f>2500000/B30</f>
        <v>892857.14285714296</v>
      </c>
      <c r="D30" s="17" t="str">
        <f>IF(AND(2.5&lt;$D$18, $D$18&lt;=3),  "VALID", "INVALID")</f>
        <v>INVALID</v>
      </c>
      <c r="E30" t="str">
        <f t="shared" si="0"/>
        <v>WoBYQ CRITERIA SATISFIED</v>
      </c>
      <c r="F30" s="17" t="str">
        <f t="shared" si="1"/>
        <v>REDUCE FILTER Q TO USE</v>
      </c>
      <c r="G30" s="11">
        <f t="shared" si="2"/>
        <v>0</v>
      </c>
    </row>
    <row r="31" spans="1:7" x14ac:dyDescent="0.55000000000000004">
      <c r="A31" s="2" t="s">
        <v>29</v>
      </c>
      <c r="B31" s="19">
        <v>4</v>
      </c>
      <c r="C31" s="9">
        <f>3000000/B31</f>
        <v>750000</v>
      </c>
      <c r="D31" s="17" t="str">
        <f>IF(AND(3&lt;$D$18, $D$18&lt;=4),  "VALID", "INVALID")</f>
        <v>INVALID</v>
      </c>
      <c r="E31" t="str">
        <f t="shared" si="0"/>
        <v>WoBYQ CRITERIA SATISFIED</v>
      </c>
      <c r="F31" s="17" t="str">
        <f t="shared" si="1"/>
        <v>REDUCE FILTER Q TO USE</v>
      </c>
      <c r="G31" s="11">
        <f t="shared" si="2"/>
        <v>0</v>
      </c>
    </row>
    <row r="32" spans="1:7" x14ac:dyDescent="0.55000000000000004">
      <c r="A32" s="2" t="s">
        <v>30</v>
      </c>
      <c r="B32" s="19">
        <v>4.8</v>
      </c>
      <c r="C32" s="9">
        <f>4000000/B32</f>
        <v>833333.33333333337</v>
      </c>
      <c r="D32" s="17" t="str">
        <f>IF(AND(4&lt;$D$18, $D$18&lt;=5),  "VALID", "INVALID")</f>
        <v>INVALID</v>
      </c>
      <c r="E32" t="str">
        <f t="shared" si="0"/>
        <v>WoBYQ CRITERIA SATISFIED</v>
      </c>
      <c r="F32" s="17" t="str">
        <f t="shared" si="1"/>
        <v>REDUCE FILTER Q TO USE</v>
      </c>
      <c r="G32" s="11">
        <f t="shared" si="2"/>
        <v>0</v>
      </c>
    </row>
    <row r="33" spans="1:7" x14ac:dyDescent="0.55000000000000004">
      <c r="A33" s="2" t="s">
        <v>53</v>
      </c>
      <c r="B33" s="19">
        <v>4.8</v>
      </c>
      <c r="C33" s="9">
        <f>5000000/B33</f>
        <v>1041666.6666666667</v>
      </c>
      <c r="D33" s="17" t="str">
        <f>IF(AND(5&lt;$D$18, $D$18&lt;=7.5),  "VALID", "INVALID")</f>
        <v>INVALID</v>
      </c>
      <c r="E33" t="str">
        <f t="shared" si="0"/>
        <v>WoBYQ CRITERIA SATISFIED</v>
      </c>
      <c r="F33" s="17" t="str">
        <f t="shared" si="1"/>
        <v>REDUCE FILTER Q TO USE</v>
      </c>
      <c r="G33" s="11">
        <f>IF(F33="VALID EMI FILTER FOR USE", 1,0)</f>
        <v>0</v>
      </c>
    </row>
    <row r="34" spans="1:7" x14ac:dyDescent="0.55000000000000004">
      <c r="A34" s="2" t="s">
        <v>54</v>
      </c>
      <c r="B34" s="19">
        <v>4.9000000000000004</v>
      </c>
      <c r="C34" s="9">
        <f>7500000/B34</f>
        <v>1530612.2448979591</v>
      </c>
      <c r="D34" s="17" t="str">
        <f>IF(AND(7.5&lt;$D$18, $D$18&lt;=10),  "VALID", "INVALID")</f>
        <v>INVALID</v>
      </c>
      <c r="E34" t="str">
        <f t="shared" ref="E34" si="3">IF($D$20&gt;=C34,"WoBYQ CRITERIA SATISFIED", "WoBYQ CRITERIA NOT MET")</f>
        <v>WoBYQ CRITERIA SATISFIED</v>
      </c>
      <c r="F34" s="17" t="str">
        <f t="shared" ref="F34" si="4">IF(AND(D34="VALID", E34="WoBYQ CRITERIA SATISFIED"), "VALID EMI FILTER FOR USE", "REDUCE FILTER Q TO USE")</f>
        <v>REDUCE FILTER Q TO USE</v>
      </c>
      <c r="G34" s="11"/>
    </row>
    <row r="35" spans="1:7" x14ac:dyDescent="0.55000000000000004">
      <c r="A35" s="2" t="s">
        <v>38</v>
      </c>
      <c r="B35" s="19">
        <v>13</v>
      </c>
      <c r="C35" s="9">
        <f>10000000/B35</f>
        <v>769230.76923076925</v>
      </c>
      <c r="D35" s="17" t="str">
        <f>IF(AND(10&lt;$D$18, $D$18&lt;=20),  "VALID", "INVALID")</f>
        <v>VALID</v>
      </c>
      <c r="E35" t="str">
        <f t="shared" si="0"/>
        <v>WoBYQ CRITERIA SATISFIED</v>
      </c>
      <c r="F35" s="17" t="str">
        <f t="shared" si="1"/>
        <v>VALID EMI FILTER FOR USE</v>
      </c>
      <c r="G35" s="11">
        <f t="shared" si="2"/>
        <v>1</v>
      </c>
    </row>
    <row r="36" spans="1:7" x14ac:dyDescent="0.55000000000000004">
      <c r="A36" s="2" t="s">
        <v>39</v>
      </c>
      <c r="B36" s="19">
        <v>13</v>
      </c>
      <c r="C36" s="9">
        <f>20000000/B36</f>
        <v>1538461.5384615385</v>
      </c>
      <c r="D36" s="17" t="str">
        <f>IF(AND(20&lt;$D$18, $D$18&lt;=30),  "VALID", "INVALID")</f>
        <v>INVALID</v>
      </c>
      <c r="E36" t="str">
        <f t="shared" ref="E36:E43" si="5">IF($D$20&gt;=C36,"WoBYQ CRITERIA SATISFIED", "WoBYQ CRITERIA NOT MET")</f>
        <v>WoBYQ CRITERIA SATISFIED</v>
      </c>
      <c r="F36" s="17" t="str">
        <f t="shared" ref="F36:F43" si="6">IF(AND(D36="VALID", E36="WoBYQ CRITERIA SATISFIED"), "VALID EMI FILTER FOR USE", "REDUCE FILTER Q TO USE")</f>
        <v>REDUCE FILTER Q TO USE</v>
      </c>
    </row>
    <row r="37" spans="1:7" x14ac:dyDescent="0.55000000000000004">
      <c r="A37" s="2" t="s">
        <v>40</v>
      </c>
      <c r="B37" s="19">
        <v>24</v>
      </c>
      <c r="C37" s="9">
        <f>30000000/B37</f>
        <v>1250000</v>
      </c>
      <c r="D37" s="17" t="str">
        <f>IF(AND(30&lt;$D$18, $D$18&lt;=40),  "VALID", "INVALID")</f>
        <v>INVALID</v>
      </c>
      <c r="E37" t="str">
        <f t="shared" si="5"/>
        <v>WoBYQ CRITERIA SATISFIED</v>
      </c>
      <c r="F37" s="17" t="str">
        <f t="shared" si="6"/>
        <v>REDUCE FILTER Q TO USE</v>
      </c>
    </row>
    <row r="38" spans="1:7" ht="15.3" customHeight="1" x14ac:dyDescent="0.55000000000000004">
      <c r="A38" s="2" t="s">
        <v>41</v>
      </c>
      <c r="B38" s="19">
        <v>50</v>
      </c>
      <c r="C38" s="9">
        <f>40000000/B38</f>
        <v>800000</v>
      </c>
      <c r="D38" s="17" t="str">
        <f>IF(AND(40&lt;$D$18, $D$18&lt;=50),  "VALID", "INVALID")</f>
        <v>INVALID</v>
      </c>
      <c r="E38" t="str">
        <f t="shared" si="5"/>
        <v>WoBYQ CRITERIA SATISFIED</v>
      </c>
      <c r="F38" s="17" t="str">
        <f t="shared" si="6"/>
        <v>REDUCE FILTER Q TO USE</v>
      </c>
    </row>
    <row r="39" spans="1:7" x14ac:dyDescent="0.55000000000000004">
      <c r="A39" s="2" t="s">
        <v>42</v>
      </c>
      <c r="B39" s="19">
        <v>62</v>
      </c>
      <c r="C39" s="9">
        <f>50000000/B39</f>
        <v>806451.61290322582</v>
      </c>
      <c r="D39" s="17" t="str">
        <f>IF(AND(50&lt;$D$18, $D$18&lt;=75),  "VALID", "INVALID")</f>
        <v>INVALID</v>
      </c>
      <c r="E39" t="str">
        <f t="shared" si="5"/>
        <v>WoBYQ CRITERIA SATISFIED</v>
      </c>
      <c r="F39" s="17" t="str">
        <f t="shared" si="6"/>
        <v>REDUCE FILTER Q TO USE</v>
      </c>
    </row>
    <row r="40" spans="1:7" x14ac:dyDescent="0.55000000000000004">
      <c r="A40" s="2" t="s">
        <v>43</v>
      </c>
      <c r="B40" s="19">
        <v>100</v>
      </c>
      <c r="C40" s="9">
        <f>75000000/B40</f>
        <v>750000</v>
      </c>
      <c r="D40" s="17" t="str">
        <f>IF(AND(75&lt;$D$18, $D$18&lt;=100),  "VALID", "INVALID")</f>
        <v>INVALID</v>
      </c>
      <c r="E40" t="str">
        <f t="shared" si="5"/>
        <v>WoBYQ CRITERIA SATISFIED</v>
      </c>
      <c r="F40" s="17" t="str">
        <f t="shared" si="6"/>
        <v>REDUCE FILTER Q TO USE</v>
      </c>
    </row>
    <row r="41" spans="1:7" x14ac:dyDescent="0.55000000000000004">
      <c r="A41" s="2" t="s">
        <v>44</v>
      </c>
      <c r="B41" s="19">
        <v>110</v>
      </c>
      <c r="C41" s="9">
        <f>100000000/B41</f>
        <v>909090.90909090906</v>
      </c>
      <c r="D41" s="17" t="str">
        <f>IF(AND(100&lt;$D$18, $D$18&lt;=150),  "VALID", "INVALID")</f>
        <v>INVALID</v>
      </c>
      <c r="E41" t="str">
        <f t="shared" si="5"/>
        <v>WoBYQ CRITERIA SATISFIED</v>
      </c>
      <c r="F41" s="17" t="str">
        <f t="shared" si="6"/>
        <v>REDUCE FILTER Q TO USE</v>
      </c>
    </row>
    <row r="42" spans="1:7" x14ac:dyDescent="0.55000000000000004">
      <c r="A42" s="2" t="s">
        <v>45</v>
      </c>
      <c r="B42" s="19">
        <v>100</v>
      </c>
      <c r="C42" s="9">
        <f>150000000/B42</f>
        <v>1500000</v>
      </c>
      <c r="D42" s="17" t="str">
        <f>IF(AND(150&lt;$D$18, $D$18&lt;=250),  "VALID", "INVALID")</f>
        <v>INVALID</v>
      </c>
      <c r="E42" t="str">
        <f t="shared" si="5"/>
        <v>WoBYQ CRITERIA SATISFIED</v>
      </c>
      <c r="F42" s="17" t="str">
        <f t="shared" si="6"/>
        <v>REDUCE FILTER Q TO USE</v>
      </c>
    </row>
    <row r="43" spans="1:7" x14ac:dyDescent="0.55000000000000004">
      <c r="A43" s="2" t="s">
        <v>46</v>
      </c>
      <c r="B43" s="19">
        <v>350</v>
      </c>
      <c r="C43" s="9">
        <f>250000000/B43</f>
        <v>714285.71428571432</v>
      </c>
      <c r="D43" s="17" t="str">
        <f>IF(AND(250&lt;$D$18, $D$18&lt;=500),  "VALID", "INVALID")</f>
        <v>INVALID</v>
      </c>
      <c r="E43" t="str">
        <f t="shared" si="5"/>
        <v>WoBYQ CRITERIA SATISFIED</v>
      </c>
      <c r="F43" s="17" t="str">
        <f t="shared" si="6"/>
        <v>REDUCE FILTER Q TO USE</v>
      </c>
    </row>
  </sheetData>
  <mergeCells count="5">
    <mergeCell ref="B24:C24"/>
    <mergeCell ref="B23:C23"/>
    <mergeCell ref="B25:C25"/>
    <mergeCell ref="B26:C26"/>
    <mergeCell ref="B27:C27"/>
  </mergeCells>
  <conditionalFormatting sqref="F33">
    <cfRule type="colorScale" priority="48">
      <colorScale>
        <cfvo type="min"/>
        <cfvo type="max"/>
        <color rgb="FFFF7128"/>
        <color rgb="FFFFEF9C"/>
      </colorScale>
    </cfRule>
  </conditionalFormatting>
  <conditionalFormatting sqref="F24:F33 F35">
    <cfRule type="colorScale" priority="44">
      <colorScale>
        <cfvo type="min"/>
        <cfvo type="max"/>
        <color rgb="FFFCFCFF"/>
        <color rgb="FF63BE7B"/>
      </colorScale>
    </cfRule>
    <cfRule type="colorScale" priority="46">
      <colorScale>
        <cfvo type="min"/>
        <cfvo type="max"/>
        <color rgb="FFFF7128"/>
        <color rgb="FFFFEF9C"/>
      </colorScale>
    </cfRule>
    <cfRule type="colorScale" priority="4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23:G35">
    <cfRule type="cellIs" dxfId="0" priority="37" operator="equal">
      <formula>1</formula>
    </cfRule>
  </conditionalFormatting>
  <conditionalFormatting sqref="F34">
    <cfRule type="colorScale" priority="36">
      <colorScale>
        <cfvo type="min"/>
        <cfvo type="max"/>
        <color rgb="FFFF7128"/>
        <color rgb="FFFFEF9C"/>
      </colorScale>
    </cfRule>
  </conditionalFormatting>
  <conditionalFormatting sqref="F34">
    <cfRule type="colorScale" priority="33">
      <colorScale>
        <cfvo type="min"/>
        <cfvo type="max"/>
        <color rgb="FFFCFCFF"/>
        <color rgb="FF63BE7B"/>
      </colorScale>
    </cfRule>
    <cfRule type="colorScale" priority="34">
      <colorScale>
        <cfvo type="min"/>
        <cfvo type="max"/>
        <color rgb="FFFF7128"/>
        <color rgb="FFFFEF9C"/>
      </colorScale>
    </cfRule>
    <cfRule type="colorScale" priority="3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36">
    <cfRule type="colorScale" priority="32">
      <colorScale>
        <cfvo type="min"/>
        <cfvo type="max"/>
        <color rgb="FFFF7128"/>
        <color rgb="FFFFEF9C"/>
      </colorScale>
    </cfRule>
  </conditionalFormatting>
  <conditionalFormatting sqref="F36">
    <cfRule type="colorScale" priority="29">
      <colorScale>
        <cfvo type="min"/>
        <cfvo type="max"/>
        <color rgb="FFFCFCFF"/>
        <color rgb="FF63BE7B"/>
      </colorScale>
    </cfRule>
    <cfRule type="colorScale" priority="30">
      <colorScale>
        <cfvo type="min"/>
        <cfvo type="max"/>
        <color rgb="FFFF7128"/>
        <color rgb="FFFFEF9C"/>
      </colorScale>
    </cfRule>
    <cfRule type="colorScale" priority="3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37">
    <cfRule type="colorScale" priority="28">
      <colorScale>
        <cfvo type="min"/>
        <cfvo type="max"/>
        <color rgb="FFFF7128"/>
        <color rgb="FFFFEF9C"/>
      </colorScale>
    </cfRule>
  </conditionalFormatting>
  <conditionalFormatting sqref="F37">
    <cfRule type="colorScale" priority="25">
      <colorScale>
        <cfvo type="min"/>
        <cfvo type="max"/>
        <color rgb="FFFCFCFF"/>
        <color rgb="FF63BE7B"/>
      </colorScale>
    </cfRule>
    <cfRule type="colorScale" priority="26">
      <colorScale>
        <cfvo type="min"/>
        <cfvo type="max"/>
        <color rgb="FFFF7128"/>
        <color rgb="FFFFEF9C"/>
      </colorScale>
    </cfRule>
    <cfRule type="colorScale" priority="2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38">
    <cfRule type="colorScale" priority="24">
      <colorScale>
        <cfvo type="min"/>
        <cfvo type="max"/>
        <color rgb="FFFF7128"/>
        <color rgb="FFFFEF9C"/>
      </colorScale>
    </cfRule>
  </conditionalFormatting>
  <conditionalFormatting sqref="F38">
    <cfRule type="colorScale" priority="21">
      <colorScale>
        <cfvo type="min"/>
        <cfvo type="max"/>
        <color rgb="FFFCFCFF"/>
        <color rgb="FF63BE7B"/>
      </colorScale>
    </cfRule>
    <cfRule type="colorScale" priority="22">
      <colorScale>
        <cfvo type="min"/>
        <cfvo type="max"/>
        <color rgb="FFFF7128"/>
        <color rgb="FFFFEF9C"/>
      </colorScale>
    </cfRule>
    <cfRule type="colorScale" priority="2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39">
    <cfRule type="colorScale" priority="20">
      <colorScale>
        <cfvo type="min"/>
        <cfvo type="max"/>
        <color rgb="FFFF7128"/>
        <color rgb="FFFFEF9C"/>
      </colorScale>
    </cfRule>
  </conditionalFormatting>
  <conditionalFormatting sqref="F39">
    <cfRule type="colorScale" priority="17">
      <colorScale>
        <cfvo type="min"/>
        <cfvo type="max"/>
        <color rgb="FFFCFCFF"/>
        <color rgb="FF63BE7B"/>
      </colorScale>
    </cfRule>
    <cfRule type="colorScale" priority="18">
      <colorScale>
        <cfvo type="min"/>
        <cfvo type="max"/>
        <color rgb="FFFF7128"/>
        <color rgb="FFFFEF9C"/>
      </colorScale>
    </cfRule>
    <cfRule type="colorScale" priority="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40">
    <cfRule type="colorScale" priority="16">
      <colorScale>
        <cfvo type="min"/>
        <cfvo type="max"/>
        <color rgb="FFFF7128"/>
        <color rgb="FFFFEF9C"/>
      </colorScale>
    </cfRule>
  </conditionalFormatting>
  <conditionalFormatting sqref="F40">
    <cfRule type="colorScale" priority="13">
      <colorScale>
        <cfvo type="min"/>
        <cfvo type="max"/>
        <color rgb="FFFCFCFF"/>
        <color rgb="FF63BE7B"/>
      </colorScale>
    </cfRule>
    <cfRule type="colorScale" priority="14">
      <colorScale>
        <cfvo type="min"/>
        <cfvo type="max"/>
        <color rgb="FFFF7128"/>
        <color rgb="FFFFEF9C"/>
      </colorScale>
    </cfRule>
    <cfRule type="colorScale" priority="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41">
    <cfRule type="colorScale" priority="12">
      <colorScale>
        <cfvo type="min"/>
        <cfvo type="max"/>
        <color rgb="FFFF7128"/>
        <color rgb="FFFFEF9C"/>
      </colorScale>
    </cfRule>
  </conditionalFormatting>
  <conditionalFormatting sqref="F41">
    <cfRule type="colorScale" priority="9">
      <colorScale>
        <cfvo type="min"/>
        <cfvo type="max"/>
        <color rgb="FFFCFCFF"/>
        <color rgb="FF63BE7B"/>
      </colorScale>
    </cfRule>
    <cfRule type="colorScale" priority="10">
      <colorScale>
        <cfvo type="min"/>
        <cfvo type="max"/>
        <color rgb="FFFF7128"/>
        <color rgb="FFFFEF9C"/>
      </colorScale>
    </cfRule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42">
    <cfRule type="colorScale" priority="8">
      <colorScale>
        <cfvo type="min"/>
        <cfvo type="max"/>
        <color rgb="FFFF7128"/>
        <color rgb="FFFFEF9C"/>
      </colorScale>
    </cfRule>
  </conditionalFormatting>
  <conditionalFormatting sqref="F42">
    <cfRule type="colorScale" priority="5">
      <colorScale>
        <cfvo type="min"/>
        <cfvo type="max"/>
        <color rgb="FFFCFCFF"/>
        <color rgb="FF63BE7B"/>
      </colorScale>
    </cfRule>
    <cfRule type="colorScale" priority="6">
      <colorScale>
        <cfvo type="min"/>
        <cfvo type="max"/>
        <color rgb="FFFF7128"/>
        <color rgb="FFFFEF9C"/>
      </colorScale>
    </cfRule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43">
    <cfRule type="colorScale" priority="4">
      <colorScale>
        <cfvo type="min"/>
        <cfvo type="max"/>
        <color rgb="FFFF7128"/>
        <color rgb="FFFFEF9C"/>
      </colorScale>
    </cfRule>
  </conditionalFormatting>
  <conditionalFormatting sqref="F43">
    <cfRule type="colorScale" priority="1">
      <colorScale>
        <cfvo type="min"/>
        <cfvo type="max"/>
        <color rgb="FFFCFCFF"/>
        <color rgb="FF63BE7B"/>
      </colorScale>
    </cfRule>
    <cfRule type="colorScale" priority="2">
      <colorScale>
        <cfvo type="min"/>
        <cfvo type="max"/>
        <color rgb="FFFF7128"/>
        <color rgb="FFFFEF9C"/>
      </colorScale>
    </cfRule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hyperlinks>
    <hyperlink ref="A4" r:id="rId1" xr:uid="{6610E70B-6776-4A8D-9EC1-708AA87311A2}"/>
    <hyperlink ref="A6" r:id="rId2" xr:uid="{F8ED1506-DE65-464A-8F64-9C0C76DC9B0A}"/>
    <hyperlink ref="G9" r:id="rId3" xr:uid="{848499EB-D843-4DAD-ABC4-4F3F2AA5D6D3}"/>
  </hyperlinks>
  <pageMargins left="0.7" right="0.7" top="0.75" bottom="0.75" header="0.3" footer="0.3"/>
  <pageSetup orientation="portrait" r:id="rId4"/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Texas Instruments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Sundar, Aditya</dc:creator>
  <cp:lastModifiedBy>Sundar, Aditya</cp:lastModifiedBy>
  <dcterms:created xsi:type="dcterms:W3CDTF">2023-03-25T15:47:11Z</dcterms:created>
  <dcterms:modified xsi:type="dcterms:W3CDTF">2024-04-29T21:12:38Z</dcterms:modified>
</cp:coreProperties>
</file>